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Joy\FLERE LAG\2025 Stevne - La Crosse WI\Budget\"/>
    </mc:Choice>
  </mc:AlternateContent>
  <xr:revisionPtr revIDLastSave="0" documentId="13_ncr:1_{0A3CAC7A-0C8E-4774-A9E8-A0115F14102B}" xr6:coauthVersionLast="47" xr6:coauthVersionMax="47" xr10:uidLastSave="{00000000-0000-0000-0000-000000000000}"/>
  <bookViews>
    <workbookView xWindow="6540" yWindow="816" windowWidth="18372" windowHeight="13248" xr2:uid="{00000000-000D-0000-FFFF-FFFF00000000}"/>
  </bookViews>
  <sheets>
    <sheet name="Event Fees" sheetId="1" r:id="rId1"/>
    <sheet name="Participant Cost" sheetId="2" r:id="rId2"/>
    <sheet name="Tour" sheetId="3" r:id="rId3"/>
    <sheet name="FOOD CHOICES" sheetId="4" r:id="rId4"/>
    <sheet name="Food Calculators" sheetId="5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E7" i="3" s="1"/>
  <c r="F4" i="3"/>
  <c r="B7" i="3"/>
  <c r="B11" i="3"/>
  <c r="E7" i="2"/>
  <c r="D99" i="1"/>
  <c r="D80" i="1"/>
  <c r="D10" i="4"/>
  <c r="D33" i="1"/>
  <c r="E15" i="5"/>
  <c r="E14" i="5"/>
  <c r="D7" i="1"/>
  <c r="C11" i="4" l="1"/>
  <c r="C12" i="4" s="1"/>
  <c r="C35" i="1"/>
  <c r="F14" i="5"/>
  <c r="D2" i="4"/>
  <c r="D11" i="4" s="1"/>
  <c r="D40" i="1"/>
  <c r="C26" i="1"/>
  <c r="C28" i="1" s="1"/>
  <c r="C19" i="1"/>
  <c r="C10" i="1"/>
  <c r="C13" i="1" s="1"/>
  <c r="D9" i="1"/>
  <c r="F100" i="1"/>
  <c r="F99" i="1"/>
  <c r="F98" i="1"/>
  <c r="F80" i="1"/>
  <c r="C12" i="3"/>
  <c r="F35" i="1"/>
  <c r="F57" i="1"/>
  <c r="F58" i="1" s="1"/>
  <c r="C58" i="1"/>
  <c r="D12" i="4" l="1"/>
  <c r="D13" i="4" s="1"/>
  <c r="C13" i="4"/>
  <c r="C14" i="4" s="1"/>
  <c r="F15" i="5"/>
  <c r="D7" i="2"/>
  <c r="D14" i="4" l="1"/>
  <c r="D17" i="4" s="1"/>
  <c r="C17" i="4"/>
  <c r="C7" i="2"/>
  <c r="H33" i="1"/>
  <c r="H34" i="1" s="1"/>
  <c r="H19" i="1"/>
  <c r="H20" i="1" s="1"/>
  <c r="H26" i="1"/>
  <c r="H27" i="1" s="1"/>
  <c r="F28" i="1"/>
  <c r="H9" i="1"/>
  <c r="I9" i="1"/>
  <c r="B12" i="3"/>
  <c r="B14" i="3" l="1"/>
  <c r="H28" i="1"/>
  <c r="H29" i="1" s="1"/>
  <c r="D25" i="1" s="1"/>
  <c r="D28" i="1" s="1"/>
  <c r="H35" i="1"/>
  <c r="H36" i="1" s="1"/>
  <c r="D32" i="1" s="1"/>
  <c r="H21" i="1"/>
  <c r="H22" i="1" s="1"/>
  <c r="D18" i="1" s="1"/>
  <c r="B7" i="2"/>
  <c r="C21" i="1"/>
  <c r="C37" i="1" s="1"/>
  <c r="F78" i="1"/>
  <c r="F96" i="1" s="1"/>
  <c r="D72" i="1"/>
  <c r="C4" i="5"/>
  <c r="A16" i="5"/>
  <c r="D63" i="1"/>
  <c r="D65" i="1"/>
  <c r="G4" i="5"/>
  <c r="G5" i="5" s="1"/>
  <c r="G8" i="5"/>
  <c r="G7" i="5"/>
  <c r="G6" i="5"/>
  <c r="I4" i="5"/>
  <c r="I8" i="5" s="1"/>
  <c r="A14" i="5"/>
  <c r="A13" i="5"/>
  <c r="A12" i="5"/>
  <c r="A10" i="5"/>
  <c r="A11" i="5" s="1"/>
  <c r="I6" i="5" l="1"/>
  <c r="D21" i="1"/>
  <c r="I7" i="5"/>
  <c r="I5" i="5"/>
  <c r="D64" i="1" l="1"/>
  <c r="D71" i="1" l="1"/>
  <c r="D70" i="1"/>
  <c r="D35" i="1"/>
  <c r="C6" i="5" l="1"/>
  <c r="A7" i="5"/>
  <c r="A6" i="5"/>
  <c r="A20" i="5"/>
  <c r="A19" i="5"/>
  <c r="D73" i="1" l="1"/>
  <c r="D66" i="1"/>
  <c r="D58" i="1"/>
  <c r="F13" i="1"/>
  <c r="H10" i="1"/>
  <c r="D11" i="1" s="1"/>
  <c r="D13" i="1" s="1"/>
  <c r="D74" i="1" l="1"/>
  <c r="D75" i="1" l="1"/>
  <c r="D76" i="1" s="1"/>
  <c r="D77" i="1" l="1"/>
  <c r="D78" i="1" s="1"/>
  <c r="D96" i="1" s="1"/>
  <c r="D10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Current User</author>
  </authors>
  <commentList>
    <comment ref="F98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Current User: </t>
        </r>
        <r>
          <rPr>
            <sz val="8"/>
            <color indexed="81"/>
            <rFont val="Tahoma"/>
            <family val="2"/>
          </rPr>
          <t xml:space="preserve">Other income: 
Hospitality - $195  
Silent Auction - $6
Interest - $1.21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Joy Shong</author>
  </authors>
  <commentList>
    <comment ref="E2" authorId="0" shapeId="0" xr:uid="{9197C859-0303-47D6-9FEA-78C3E667D23B}">
      <text>
        <r>
          <rPr>
            <b/>
            <sz val="9"/>
            <color indexed="81"/>
            <rFont val="Tahoma"/>
            <family val="2"/>
          </rPr>
          <t>Joy Shong:</t>
        </r>
        <r>
          <rPr>
            <sz val="9"/>
            <color indexed="81"/>
            <rFont val="Tahoma"/>
            <family val="2"/>
          </rPr>
          <t xml:space="preserve">
Budget price was $50
Form price was $51</t>
        </r>
      </text>
    </comment>
    <comment ref="E4" authorId="0" shapeId="0" xr:uid="{CF35834A-E144-4CF5-8E22-395C0190627C}">
      <text>
        <r>
          <rPr>
            <b/>
            <sz val="9"/>
            <color indexed="81"/>
            <rFont val="Tahoma"/>
            <family val="2"/>
          </rPr>
          <t>Joy Shong:</t>
        </r>
        <r>
          <rPr>
            <sz val="9"/>
            <color indexed="81"/>
            <rFont val="Tahoma"/>
            <family val="2"/>
          </rPr>
          <t xml:space="preserve">
Price on budget worksheet was $38
Price on registration form $36</t>
        </r>
      </text>
    </comment>
  </commentList>
</comments>
</file>

<file path=xl/sharedStrings.xml><?xml version="1.0" encoding="utf-8"?>
<sst xmlns="http://schemas.openxmlformats.org/spreadsheetml/2006/main" count="250" uniqueCount="211">
  <si>
    <t>B. Classes/Demonstrations/Seminars</t>
  </si>
  <si>
    <t>TOTAL</t>
  </si>
  <si>
    <t>Tot Partic&amp; Reg'd</t>
  </si>
  <si>
    <t>Registration</t>
  </si>
  <si>
    <t>Banquet</t>
  </si>
  <si>
    <t>Tour</t>
  </si>
  <si>
    <t xml:space="preserve">       Sub total</t>
  </si>
  <si>
    <t>SUGGESTED CHARGE  $</t>
  </si>
  <si>
    <t>Includes:</t>
  </si>
  <si>
    <t>Servings</t>
  </si>
  <si>
    <t xml:space="preserve">  Total</t>
  </si>
  <si>
    <t>Per meal</t>
  </si>
  <si>
    <t>SUB-TOTAL ALL BREAKS</t>
  </si>
  <si>
    <t>Base:</t>
  </si>
  <si>
    <t>Total</t>
  </si>
  <si>
    <t>Meal:</t>
  </si>
  <si>
    <t>128 oz/gallon</t>
  </si>
  <si>
    <t>servings in 5 gallons</t>
  </si>
  <si>
    <t>servings in 3 gallons</t>
  </si>
  <si>
    <t>Unit Cost</t>
  </si>
  <si>
    <t>Extended Cost</t>
  </si>
  <si>
    <t>Cost</t>
  </si>
  <si>
    <t xml:space="preserve">Tour </t>
  </si>
  <si>
    <t>servings in 4 gallons</t>
  </si>
  <si>
    <t>Countryside Lefse. Blair</t>
  </si>
  <si>
    <t>Hotel Est.</t>
  </si>
  <si>
    <t>Per Person</t>
  </si>
  <si>
    <t>Per person</t>
  </si>
  <si>
    <t>Group</t>
  </si>
  <si>
    <t>Food</t>
  </si>
  <si>
    <t>Yellow boxes are totals/subtotals used in calculating final #s</t>
  </si>
  <si>
    <t>Light blue cells are tax and gratuity calculators</t>
  </si>
  <si>
    <t>Green cells are break totals</t>
  </si>
  <si>
    <t>Beverage</t>
  </si>
  <si>
    <t>Meal</t>
  </si>
  <si>
    <t>Tax</t>
  </si>
  <si>
    <t>3 gallons ice tea/lemonade (64 serv)    1 tea 2 lemonade</t>
  </si>
  <si>
    <t>per gallon</t>
  </si>
  <si>
    <t>servings per gallon (6 oz  cups)</t>
  </si>
  <si>
    <t>servings per gallon (7 oz cups)</t>
  </si>
  <si>
    <t>Servings per gallon (8 oz cups)</t>
  </si>
  <si>
    <t>servings in 2 gallons</t>
  </si>
  <si>
    <t>Beverages</t>
  </si>
  <si>
    <t>Photographer</t>
  </si>
  <si>
    <t>2 gallons of coffee (42 cups) @$44 per gal less 20%</t>
  </si>
  <si>
    <t xml:space="preserve">Starch </t>
  </si>
  <si>
    <t xml:space="preserve">Salad </t>
  </si>
  <si>
    <t>2 gallons of coffee (42 servings) @$44 less 20%</t>
  </si>
  <si>
    <t xml:space="preserve">Vegetable </t>
  </si>
  <si>
    <t>12 sheets (1 case of 12) $63</t>
  </si>
  <si>
    <t>24 sheets (1 case of 24) $81</t>
  </si>
  <si>
    <t>12 and 24 ($63 + $81 = $144)</t>
  </si>
  <si>
    <t>6 and 12 ($36 + $63 = $99)</t>
  </si>
  <si>
    <t>Bev</t>
  </si>
  <si>
    <t>Servings per gallon (10 oz cups)</t>
  </si>
  <si>
    <t>3 gallons of ice tea/lemonade (38 10oz cups)  (1 Tea, 2 Lemon)</t>
  </si>
  <si>
    <t>10oz serving in 12 oz glass</t>
  </si>
  <si>
    <t>6 oz servings in 7 oz cup</t>
  </si>
  <si>
    <t>7 oz servings in 8 oz cup</t>
  </si>
  <si>
    <t>tea and lemonade glasses</t>
  </si>
  <si>
    <t>8 doz cookies (84) @ $34/doz  (Other years $18)</t>
  </si>
  <si>
    <t xml:space="preserve">Suggested Charge </t>
  </si>
  <si>
    <t>G. Miscellaneous</t>
  </si>
  <si>
    <t>H. Hospitality Room</t>
  </si>
  <si>
    <t>Supplies: plates, napkins, etc, crackers, sausage, cheese, etc</t>
  </si>
  <si>
    <t>Supplies</t>
  </si>
  <si>
    <t>Printing</t>
  </si>
  <si>
    <r>
      <t xml:space="preserve">F. Piano </t>
    </r>
    <r>
      <rPr>
        <sz val="10"/>
        <rFont val="Arial"/>
        <family val="2"/>
      </rPr>
      <t>rental and tuning</t>
    </r>
  </si>
  <si>
    <t>C. Coffee/Refreshment breaks</t>
  </si>
  <si>
    <t>Budget Worksheet - Flere Lag Stevne</t>
  </si>
  <si>
    <t xml:space="preserve">Total Program Costs  (Section IV A - H ) </t>
  </si>
  <si>
    <t xml:space="preserve">        Sub-total - day 2</t>
  </si>
  <si>
    <t>$100 per topic</t>
  </si>
  <si>
    <t>$150 if presented</t>
  </si>
  <si>
    <t>twice</t>
  </si>
  <si>
    <t>Tax Calc.</t>
  </si>
  <si>
    <t>Tax Calc</t>
  </si>
  <si>
    <t>$150 base</t>
  </si>
  <si>
    <t>50? 2021 RomSol</t>
  </si>
  <si>
    <t>69 in 2021 Tre</t>
  </si>
  <si>
    <t>CHARGE</t>
  </si>
  <si>
    <t>Other meal</t>
  </si>
  <si>
    <t>95 in 2022</t>
  </si>
  <si>
    <t>Final Income and Expense</t>
  </si>
  <si>
    <t>Final cost</t>
  </si>
  <si>
    <t>Lefse</t>
  </si>
  <si>
    <t>D. Supplies and Services</t>
  </si>
  <si>
    <t>Lunch</t>
  </si>
  <si>
    <t>67 in 2022</t>
  </si>
  <si>
    <t>111 in 2022</t>
  </si>
  <si>
    <t xml:space="preserve">      With service fees 22% on breaks</t>
  </si>
  <si>
    <t>II Tues Meal</t>
  </si>
  <si>
    <t>III Wed Meal</t>
  </si>
  <si>
    <t>IVThur Banquet</t>
  </si>
  <si>
    <t>sub total</t>
  </si>
  <si>
    <t>I. TOUR</t>
  </si>
  <si>
    <t>V. Stevne Registration</t>
  </si>
  <si>
    <t xml:space="preserve">  B7 fees + B13 meals</t>
  </si>
  <si>
    <t>98 in 2023</t>
  </si>
  <si>
    <t>49 in 2023</t>
  </si>
  <si>
    <t>43 in 2023</t>
  </si>
  <si>
    <t xml:space="preserve">Screens </t>
  </si>
  <si>
    <t xml:space="preserve">Projector </t>
  </si>
  <si>
    <r>
      <rPr>
        <b/>
        <sz val="10"/>
        <color rgb="FF0070C0"/>
        <rFont val="Arial"/>
        <family val="2"/>
      </rPr>
      <t xml:space="preserve">Projected Cost per person based on </t>
    </r>
    <r>
      <rPr>
        <b/>
        <sz val="10"/>
        <color rgb="FFFF0000"/>
        <rFont val="Arial"/>
        <family val="2"/>
      </rPr>
      <t>100</t>
    </r>
    <r>
      <rPr>
        <b/>
        <sz val="10"/>
        <color indexed="48"/>
        <rFont val="Arial"/>
        <family val="2"/>
      </rPr>
      <t xml:space="preserve"> </t>
    </r>
    <r>
      <rPr>
        <b/>
        <sz val="10"/>
        <color rgb="FF0070C0"/>
        <rFont val="Arial"/>
        <family val="2"/>
      </rPr>
      <t>attendees</t>
    </r>
  </si>
  <si>
    <t>76 in 2023</t>
  </si>
  <si>
    <t xml:space="preserve">Other: </t>
  </si>
  <si>
    <t xml:space="preserve">Dessert </t>
  </si>
  <si>
    <t>City and County .5 each</t>
  </si>
  <si>
    <t xml:space="preserve">      Tax of 7.88% on breaks</t>
  </si>
  <si>
    <t>formula was (26 x15gal) x.8</t>
  </si>
  <si>
    <t>8 oz serving in 10 oz cup</t>
  </si>
  <si>
    <t>Break rows hidden</t>
  </si>
  <si>
    <r>
      <t xml:space="preserve">E. AV Equipment - </t>
    </r>
    <r>
      <rPr>
        <sz val="10"/>
        <rFont val="Arial"/>
        <family val="2"/>
      </rPr>
      <t xml:space="preserve"> (package screen, mic,speakers)</t>
    </r>
  </si>
  <si>
    <r>
      <t>Day 1 Afternoon</t>
    </r>
    <r>
      <rPr>
        <sz val="10"/>
        <color theme="0" tint="-0.34998626667073579"/>
        <rFont val="Arial"/>
        <family val="2"/>
      </rPr>
      <t xml:space="preserve"> (est 100 to 120)</t>
    </r>
  </si>
  <si>
    <r>
      <t xml:space="preserve">Day 2 Afternoon </t>
    </r>
    <r>
      <rPr>
        <sz val="10"/>
        <color theme="0" tint="-0.34998626667073579"/>
        <rFont val="Arial"/>
        <family val="2"/>
      </rPr>
      <t>(est 100 attendees)</t>
    </r>
  </si>
  <si>
    <t xml:space="preserve">22% service charge, MN tax 6.88 + county and local </t>
  </si>
  <si>
    <t>Coffee</t>
  </si>
  <si>
    <t xml:space="preserve">The blue cells in column F are actual costs from previous year  </t>
  </si>
  <si>
    <t>Other meal rows are hidden</t>
  </si>
  <si>
    <t>Charge on reg. form</t>
  </si>
  <si>
    <t xml:space="preserve"> </t>
  </si>
  <si>
    <t>Total Meals</t>
  </si>
  <si>
    <t>Each</t>
  </si>
  <si>
    <r>
      <rPr>
        <b/>
        <sz val="10"/>
        <rFont val="Arial"/>
        <family val="2"/>
      </rPr>
      <t>SUB-TOTAL</t>
    </r>
    <r>
      <rPr>
        <sz val="10"/>
        <rFont val="Arial"/>
        <family val="2"/>
      </rPr>
      <t xml:space="preserve"> Hotel meal charge</t>
    </r>
  </si>
  <si>
    <t>gratuity</t>
  </si>
  <si>
    <t>2024 Actual</t>
  </si>
  <si>
    <t>hotel charged for 6 and 2=8gal</t>
  </si>
  <si>
    <t>Postage</t>
  </si>
  <si>
    <t>Registrd</t>
  </si>
  <si>
    <t>Estimates</t>
  </si>
  <si>
    <t>Charged</t>
  </si>
  <si>
    <t>Actual:</t>
  </si>
  <si>
    <t>Income</t>
  </si>
  <si>
    <t>Expense:</t>
  </si>
  <si>
    <t>Bar set up fee</t>
  </si>
  <si>
    <t>used 9 gal. charged for 6</t>
  </si>
  <si>
    <t>121 Full registration</t>
  </si>
  <si>
    <r>
      <rPr>
        <b/>
        <sz val="10"/>
        <rFont val="Arial"/>
        <family val="2"/>
      </rPr>
      <t>Misc Income</t>
    </r>
    <r>
      <rPr>
        <sz val="10"/>
        <rFont val="Arial"/>
        <family val="2"/>
      </rPr>
      <t>: Hospitality donations, interest, etc</t>
    </r>
  </si>
  <si>
    <t>12 Single=1/2 of full</t>
  </si>
  <si>
    <t>2025 Estimate</t>
  </si>
  <si>
    <t>La Crosse, WI  - August 2025</t>
  </si>
  <si>
    <t>x</t>
  </si>
  <si>
    <t>WI State Sales Tax</t>
  </si>
  <si>
    <t>54 in 2024</t>
  </si>
  <si>
    <t>112 in 2024</t>
  </si>
  <si>
    <t>2024 - 140</t>
  </si>
  <si>
    <t>2023 - 112</t>
  </si>
  <si>
    <t>2022 - 146</t>
  </si>
  <si>
    <t>Banquet#</t>
  </si>
  <si>
    <t xml:space="preserve">1 - 55 passenger bus: $750 </t>
  </si>
  <si>
    <t>Estimate attendance of 50 for tour</t>
  </si>
  <si>
    <r>
      <t xml:space="preserve">   </t>
    </r>
    <r>
      <rPr>
        <sz val="10"/>
        <color rgb="FF0070C0"/>
        <rFont val="Arial"/>
        <family val="2"/>
      </rPr>
      <t># of people to break even for buses</t>
    </r>
    <r>
      <rPr>
        <sz val="10"/>
        <color indexed="12"/>
        <rFont val="Arial"/>
        <family val="2"/>
      </rPr>
      <t xml:space="preserve">: </t>
    </r>
    <r>
      <rPr>
        <b/>
        <sz val="10"/>
        <rFont val="Arial"/>
        <family val="2"/>
      </rPr>
      <t>Est. 50</t>
    </r>
    <r>
      <rPr>
        <sz val="10"/>
        <color indexed="12"/>
        <rFont val="Arial"/>
        <family val="2"/>
      </rPr>
      <t xml:space="preserve"> </t>
    </r>
    <r>
      <rPr>
        <sz val="10"/>
        <color rgb="FF0070C0"/>
        <rFont val="Arial"/>
        <family val="2"/>
      </rPr>
      <t>@ $15/pers</t>
    </r>
  </si>
  <si>
    <t>Venue admission fees - $12 per person</t>
  </si>
  <si>
    <t>Some calculate food + tax</t>
  </si>
  <si>
    <t>then adds service fee of x%</t>
  </si>
  <si>
    <t>Lawrence Moe (keynote)</t>
  </si>
  <si>
    <t>(genealogy demos by members)</t>
  </si>
  <si>
    <t xml:space="preserve">Est.  50 attendees </t>
  </si>
  <si>
    <t xml:space="preserve">Est. 50  attendees </t>
  </si>
  <si>
    <t xml:space="preserve">Est. 100 attendees </t>
  </si>
  <si>
    <t xml:space="preserve">A. Meal  @ $18 + tax and fee </t>
  </si>
  <si>
    <t xml:space="preserve">A. Meal  @ $16 with tax and fee </t>
  </si>
  <si>
    <t xml:space="preserve"> (50 meals at $18 to meet the meal requirement)</t>
  </si>
  <si>
    <t xml:space="preserve">  Total for 50 meals</t>
  </si>
  <si>
    <t xml:space="preserve">A. Hotel space  ($3325 Plus 5.5% tax) </t>
  </si>
  <si>
    <t>David Engen</t>
  </si>
  <si>
    <t>Dennis Haarsager</t>
  </si>
  <si>
    <t xml:space="preserve">Beginning Genealogy - </t>
  </si>
  <si>
    <t>David Amdal</t>
  </si>
  <si>
    <t>.</t>
  </si>
  <si>
    <t>Leslee Hoyum</t>
  </si>
  <si>
    <t>Glenn Boreson</t>
  </si>
  <si>
    <t>Calculator</t>
  </si>
  <si>
    <t>3 gal Coffee, Iced Tea or Lemonade for $50</t>
  </si>
  <si>
    <t>Pitchers of iced tea or lemonad om tables for $8 each</t>
  </si>
  <si>
    <t xml:space="preserve">21% service charge, WI tax 5.5% </t>
  </si>
  <si>
    <t xml:space="preserve">Tax: 5.5% </t>
  </si>
  <si>
    <t>Gratuity: 21%</t>
  </si>
  <si>
    <t xml:space="preserve">   Estimate of 100 x dinner price ($26/entrée + desrt.)</t>
  </si>
  <si>
    <t>Buffet with 2 entrees</t>
  </si>
  <si>
    <t>In 2024:</t>
  </si>
  <si>
    <t>$20 per single day</t>
  </si>
  <si>
    <t>$40 Full Reg</t>
  </si>
  <si>
    <t>$1475 if meals not met</t>
  </si>
  <si>
    <t>Tip for Driver $1/person</t>
  </si>
  <si>
    <t>Beverages: 3 gal coffee; 3 gallons Iced Tea =  $127.66</t>
  </si>
  <si>
    <t>B. Lefse @ $1/person = $100</t>
  </si>
  <si>
    <t>Entrée 1 Sirloin Beef Tips</t>
  </si>
  <si>
    <t>Entrée 2 Salmon</t>
  </si>
  <si>
    <t>Banquet Entertainment: Wergeland Dancers</t>
  </si>
  <si>
    <r>
      <rPr>
        <b/>
        <sz val="10"/>
        <rFont val="Arial"/>
        <family val="2"/>
      </rPr>
      <t>Entree fee</t>
    </r>
    <r>
      <rPr>
        <sz val="10"/>
        <rFont val="Arial"/>
        <family val="2"/>
      </rPr>
      <t xml:space="preserve"> - Norskedalen</t>
    </r>
  </si>
  <si>
    <t>50 to break even for bus at $15</t>
  </si>
  <si>
    <t>Driver Tip</t>
  </si>
  <si>
    <t>Donations</t>
  </si>
  <si>
    <t>Meatball dinner - Borgens Café</t>
  </si>
  <si>
    <t xml:space="preserve">x on tour </t>
  </si>
  <si>
    <t xml:space="preserve"> Pulled Pork sandwiches</t>
  </si>
  <si>
    <t>Box Lunch: Sandwhiches    (50x16)</t>
  </si>
  <si>
    <t>Buses: 2 55- passenger</t>
  </si>
  <si>
    <t>Paid</t>
  </si>
  <si>
    <t>One day reg $28</t>
  </si>
  <si>
    <r>
      <rPr>
        <b/>
        <sz val="10"/>
        <rFont val="Arial"/>
        <family val="2"/>
      </rPr>
      <t xml:space="preserve">Coffee: </t>
    </r>
    <r>
      <rPr>
        <sz val="10"/>
        <rFont val="Arial"/>
        <family val="2"/>
      </rPr>
      <t xml:space="preserve">3 gal for $40    </t>
    </r>
    <r>
      <rPr>
        <b/>
        <sz val="10"/>
        <rFont val="Arial"/>
        <family val="2"/>
      </rPr>
      <t>Tea</t>
    </r>
    <r>
      <rPr>
        <sz val="10"/>
        <rFont val="Arial"/>
        <family val="2"/>
      </rPr>
      <t>: 3 gal for $50</t>
    </r>
  </si>
  <si>
    <t xml:space="preserve">$40 per urn; 1st urn free; have in hospitality </t>
  </si>
  <si>
    <t>Pitchers of coffee on tables for $8 each</t>
  </si>
  <si>
    <t>Urn on side for refilling</t>
  </si>
  <si>
    <t>WHAT HOTEL FINALLY OFFERED</t>
  </si>
  <si>
    <t>Hotel had charge as $22 per meal on final invoice</t>
  </si>
  <si>
    <t xml:space="preserve">A.100 Meals with dessert @ $26+4 +tax and fees     </t>
  </si>
  <si>
    <r>
      <t xml:space="preserve">Orig to charge 38; form had </t>
    </r>
    <r>
      <rPr>
        <b/>
        <sz val="10"/>
        <color rgb="FFFF0000"/>
        <rFont val="Arial"/>
        <family val="2"/>
      </rPr>
      <t>36</t>
    </r>
  </si>
  <si>
    <t>Includes 17 hours of genealogy service, entertainment events, 8 seminars, hospitality room, opening ceremonies, vendors, and opportunity to attend lag business meetings.</t>
  </si>
  <si>
    <r>
      <rPr>
        <b/>
        <sz val="10"/>
        <color rgb="FF0070C0"/>
        <rFont val="Arial"/>
        <family val="2"/>
      </rPr>
      <t>Projected Income - number attending at $20 per day</t>
    </r>
    <r>
      <rPr>
        <sz val="10"/>
        <color rgb="FF0070C0"/>
        <rFont val="Arial"/>
        <family val="2"/>
      </rPr>
      <t>:</t>
    </r>
    <r>
      <rPr>
        <sz val="10"/>
        <color rgb="FFFF0000"/>
        <rFont val="Arial"/>
        <family val="2"/>
      </rPr>
      <t xml:space="preserve"> 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</si>
</sst>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;[Red]0.00"/>
    <numFmt numFmtId="165" formatCode="&quot;$&quot;#,##0.00"/>
    <numFmt numFmtId="166" formatCode="0.00_);[Red]\(0.00\)"/>
    <numFmt numFmtId="167" formatCode="0.0%"/>
    <numFmt numFmtId="168" formatCode="h:mm;@"/>
    <numFmt numFmtId="169" formatCode="_(* #,##0_);_(* \(#,##0\);_(* &quot;-&quot;??_);_(@_)"/>
    <numFmt numFmtId="170" formatCode="0.0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9.5"/>
      <color indexed="8"/>
      <name val="Arial"/>
      <family val="2"/>
    </font>
    <font>
      <b/>
      <sz val="9"/>
      <name val="Arial"/>
      <family val="2"/>
    </font>
    <font>
      <i/>
      <sz val="10"/>
      <color indexed="12"/>
      <name val="Arial"/>
      <family val="2"/>
    </font>
    <font>
      <b/>
      <sz val="10"/>
      <color indexed="48"/>
      <name val="Arial"/>
      <family val="2"/>
    </font>
    <font>
      <b/>
      <i/>
      <sz val="10"/>
      <color indexed="48"/>
      <name val="Arial"/>
      <family val="2"/>
    </font>
    <font>
      <b/>
      <sz val="8"/>
      <name val="Arial"/>
      <family val="2"/>
    </font>
    <font>
      <sz val="9.5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sz val="11"/>
      <color rgb="FF9C0006"/>
      <name val="Calibri"/>
      <family val="2"/>
      <scheme val="minor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4" fillId="9" borderId="0" applyNumberFormat="0" applyBorder="0" applyAlignment="0" applyProtection="0"/>
    <xf numFmtId="9" fontId="36" fillId="0" borderId="0" applyFont="0" applyFill="0" applyBorder="0" applyAlignment="0" applyProtection="0"/>
  </cellStyleXfs>
  <cellXfs count="3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2" fontId="0" fillId="0" borderId="0" xfId="0" applyNumberFormat="1"/>
    <xf numFmtId="0" fontId="0" fillId="0" borderId="1" xfId="0" applyBorder="1"/>
    <xf numFmtId="0" fontId="3" fillId="0" borderId="1" xfId="0" applyFont="1" applyBorder="1"/>
    <xf numFmtId="2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8" fillId="0" borderId="0" xfId="0" applyNumberFormat="1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indent="1"/>
    </xf>
    <xf numFmtId="40" fontId="0" fillId="0" borderId="0" xfId="0" applyNumberFormat="1"/>
    <xf numFmtId="40" fontId="0" fillId="0" borderId="8" xfId="0" applyNumberFormat="1" applyBorder="1"/>
    <xf numFmtId="8" fontId="0" fillId="0" borderId="0" xfId="0" applyNumberFormat="1"/>
    <xf numFmtId="2" fontId="5" fillId="0" borderId="1" xfId="0" applyNumberFormat="1" applyFont="1" applyBorder="1"/>
    <xf numFmtId="2" fontId="12" fillId="0" borderId="0" xfId="0" applyNumberFormat="1" applyFont="1"/>
    <xf numFmtId="0" fontId="1" fillId="0" borderId="0" xfId="0" applyFont="1"/>
    <xf numFmtId="164" fontId="0" fillId="0" borderId="0" xfId="0" applyNumberFormat="1"/>
    <xf numFmtId="2" fontId="1" fillId="0" borderId="0" xfId="0" applyNumberFormat="1" applyFont="1"/>
    <xf numFmtId="0" fontId="9" fillId="0" borderId="0" xfId="0" applyFont="1"/>
    <xf numFmtId="2" fontId="4" fillId="0" borderId="0" xfId="0" applyNumberFormat="1" applyFont="1"/>
    <xf numFmtId="2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3" fillId="3" borderId="0" xfId="0" applyFont="1" applyFill="1"/>
    <xf numFmtId="0" fontId="13" fillId="3" borderId="8" xfId="0" applyFont="1" applyFill="1" applyBorder="1"/>
    <xf numFmtId="0" fontId="15" fillId="3" borderId="31" xfId="0" applyFont="1" applyFill="1" applyBorder="1"/>
    <xf numFmtId="0" fontId="14" fillId="3" borderId="24" xfId="0" applyFont="1" applyFill="1" applyBorder="1" applyAlignment="1">
      <alignment horizontal="center"/>
    </xf>
    <xf numFmtId="0" fontId="13" fillId="3" borderId="24" xfId="0" applyFont="1" applyFill="1" applyBorder="1"/>
    <xf numFmtId="0" fontId="14" fillId="3" borderId="24" xfId="0" applyFont="1" applyFill="1" applyBorder="1"/>
    <xf numFmtId="0" fontId="13" fillId="3" borderId="32" xfId="0" applyFont="1" applyFill="1" applyBorder="1"/>
    <xf numFmtId="0" fontId="13" fillId="3" borderId="6" xfId="0" applyFont="1" applyFill="1" applyBorder="1"/>
    <xf numFmtId="0" fontId="16" fillId="3" borderId="7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3" fillId="3" borderId="15" xfId="0" applyFont="1" applyFill="1" applyBorder="1"/>
    <xf numFmtId="0" fontId="13" fillId="3" borderId="29" xfId="0" applyFont="1" applyFill="1" applyBorder="1"/>
    <xf numFmtId="0" fontId="17" fillId="3" borderId="34" xfId="0" applyFont="1" applyFill="1" applyBorder="1"/>
    <xf numFmtId="0" fontId="17" fillId="3" borderId="29" xfId="0" applyFont="1" applyFill="1" applyBorder="1"/>
    <xf numFmtId="0" fontId="18" fillId="3" borderId="1" xfId="0" applyFont="1" applyFill="1" applyBorder="1"/>
    <xf numFmtId="0" fontId="14" fillId="3" borderId="2" xfId="0" applyFont="1" applyFill="1" applyBorder="1" applyAlignment="1">
      <alignment horizontal="center"/>
    </xf>
    <xf numFmtId="0" fontId="13" fillId="3" borderId="3" xfId="0" applyFont="1" applyFill="1" applyBorder="1"/>
    <xf numFmtId="166" fontId="13" fillId="3" borderId="10" xfId="0" applyNumberFormat="1" applyFont="1" applyFill="1" applyBorder="1"/>
    <xf numFmtId="0" fontId="17" fillId="3" borderId="0" xfId="0" applyFont="1" applyFill="1"/>
    <xf numFmtId="0" fontId="17" fillId="3" borderId="1" xfId="0" applyFont="1" applyFill="1" applyBorder="1"/>
    <xf numFmtId="164" fontId="13" fillId="3" borderId="3" xfId="0" applyNumberFormat="1" applyFont="1" applyFill="1" applyBorder="1"/>
    <xf numFmtId="0" fontId="13" fillId="4" borderId="25" xfId="0" applyFont="1" applyFill="1" applyBorder="1"/>
    <xf numFmtId="2" fontId="17" fillId="4" borderId="14" xfId="0" applyNumberFormat="1" applyFont="1" applyFill="1" applyBorder="1"/>
    <xf numFmtId="0" fontId="19" fillId="3" borderId="1" xfId="0" applyFont="1" applyFill="1" applyBorder="1"/>
    <xf numFmtId="2" fontId="17" fillId="3" borderId="1" xfId="0" applyNumberFormat="1" applyFont="1" applyFill="1" applyBorder="1"/>
    <xf numFmtId="2" fontId="19" fillId="3" borderId="3" xfId="0" applyNumberFormat="1" applyFont="1" applyFill="1" applyBorder="1"/>
    <xf numFmtId="2" fontId="17" fillId="3" borderId="3" xfId="0" applyNumberFormat="1" applyFont="1" applyFill="1" applyBorder="1"/>
    <xf numFmtId="10" fontId="13" fillId="3" borderId="0" xfId="0" applyNumberFormat="1" applyFont="1" applyFill="1"/>
    <xf numFmtId="0" fontId="13" fillId="0" borderId="25" xfId="0" applyFont="1" applyBorder="1"/>
    <xf numFmtId="2" fontId="17" fillId="4" borderId="17" xfId="0" applyNumberFormat="1" applyFont="1" applyFill="1" applyBorder="1"/>
    <xf numFmtId="164" fontId="13" fillId="3" borderId="19" xfId="0" applyNumberFormat="1" applyFont="1" applyFill="1" applyBorder="1"/>
    <xf numFmtId="2" fontId="17" fillId="3" borderId="34" xfId="0" applyNumberFormat="1" applyFont="1" applyFill="1" applyBorder="1"/>
    <xf numFmtId="9" fontId="13" fillId="3" borderId="0" xfId="0" applyNumberFormat="1" applyFont="1" applyFill="1"/>
    <xf numFmtId="0" fontId="13" fillId="3" borderId="1" xfId="0" applyFont="1" applyFill="1" applyBorder="1"/>
    <xf numFmtId="164" fontId="13" fillId="3" borderId="13" xfId="0" applyNumberFormat="1" applyFont="1" applyFill="1" applyBorder="1"/>
    <xf numFmtId="0" fontId="13" fillId="3" borderId="19" xfId="0" applyFont="1" applyFill="1" applyBorder="1"/>
    <xf numFmtId="0" fontId="14" fillId="3" borderId="1" xfId="0" applyFont="1" applyFill="1" applyBorder="1"/>
    <xf numFmtId="2" fontId="13" fillId="3" borderId="12" xfId="0" applyNumberFormat="1" applyFont="1" applyFill="1" applyBorder="1"/>
    <xf numFmtId="164" fontId="13" fillId="3" borderId="2" xfId="0" applyNumberFormat="1" applyFont="1" applyFill="1" applyBorder="1"/>
    <xf numFmtId="2" fontId="20" fillId="3" borderId="3" xfId="0" applyNumberFormat="1" applyFont="1" applyFill="1" applyBorder="1"/>
    <xf numFmtId="0" fontId="13" fillId="3" borderId="31" xfId="0" applyFont="1" applyFill="1" applyBorder="1"/>
    <xf numFmtId="0" fontId="14" fillId="3" borderId="4" xfId="0" applyFont="1" applyFill="1" applyBorder="1"/>
    <xf numFmtId="164" fontId="21" fillId="3" borderId="5" xfId="0" applyNumberFormat="1" applyFont="1" applyFill="1" applyBorder="1"/>
    <xf numFmtId="164" fontId="15" fillId="2" borderId="19" xfId="0" applyNumberFormat="1" applyFont="1" applyFill="1" applyBorder="1"/>
    <xf numFmtId="164" fontId="15" fillId="3" borderId="19" xfId="0" applyNumberFormat="1" applyFont="1" applyFill="1" applyBorder="1"/>
    <xf numFmtId="0" fontId="13" fillId="3" borderId="34" xfId="0" applyFont="1" applyFill="1" applyBorder="1"/>
    <xf numFmtId="164" fontId="15" fillId="3" borderId="24" xfId="0" applyNumberFormat="1" applyFont="1" applyFill="1" applyBorder="1"/>
    <xf numFmtId="164" fontId="21" fillId="3" borderId="24" xfId="0" applyNumberFormat="1" applyFont="1" applyFill="1" applyBorder="1"/>
    <xf numFmtId="166" fontId="13" fillId="3" borderId="24" xfId="0" applyNumberFormat="1" applyFont="1" applyFill="1" applyBorder="1"/>
    <xf numFmtId="0" fontId="13" fillId="3" borderId="33" xfId="0" applyFont="1" applyFill="1" applyBorder="1"/>
    <xf numFmtId="0" fontId="13" fillId="3" borderId="37" xfId="0" applyFont="1" applyFill="1" applyBorder="1"/>
    <xf numFmtId="0" fontId="14" fillId="3" borderId="8" xfId="0" applyFont="1" applyFill="1" applyBorder="1"/>
    <xf numFmtId="164" fontId="15" fillId="3" borderId="8" xfId="0" applyNumberFormat="1" applyFont="1" applyFill="1" applyBorder="1"/>
    <xf numFmtId="164" fontId="21" fillId="3" borderId="8" xfId="0" applyNumberFormat="1" applyFont="1" applyFill="1" applyBorder="1"/>
    <xf numFmtId="166" fontId="13" fillId="3" borderId="8" xfId="0" applyNumberFormat="1" applyFont="1" applyFill="1" applyBorder="1"/>
    <xf numFmtId="0" fontId="13" fillId="3" borderId="35" xfId="0" applyFont="1" applyFill="1" applyBorder="1"/>
    <xf numFmtId="164" fontId="13" fillId="3" borderId="14" xfId="0" applyNumberFormat="1" applyFont="1" applyFill="1" applyBorder="1"/>
    <xf numFmtId="2" fontId="13" fillId="3" borderId="3" xfId="0" applyNumberFormat="1" applyFont="1" applyFill="1" applyBorder="1"/>
    <xf numFmtId="2" fontId="13" fillId="3" borderId="14" xfId="0" applyNumberFormat="1" applyFont="1" applyFill="1" applyBorder="1"/>
    <xf numFmtId="164" fontId="13" fillId="3" borderId="0" xfId="0" applyNumberFormat="1" applyFont="1" applyFill="1"/>
    <xf numFmtId="2" fontId="13" fillId="4" borderId="14" xfId="0" applyNumberFormat="1" applyFont="1" applyFill="1" applyBorder="1"/>
    <xf numFmtId="2" fontId="13" fillId="3" borderId="13" xfId="0" applyNumberFormat="1" applyFont="1" applyFill="1" applyBorder="1"/>
    <xf numFmtId="2" fontId="13" fillId="4" borderId="26" xfId="0" applyNumberFormat="1" applyFont="1" applyFill="1" applyBorder="1"/>
    <xf numFmtId="2" fontId="13" fillId="3" borderId="18" xfId="0" applyNumberFormat="1" applyFont="1" applyFill="1" applyBorder="1"/>
    <xf numFmtId="164" fontId="13" fillId="3" borderId="16" xfId="0" applyNumberFormat="1" applyFont="1" applyFill="1" applyBorder="1"/>
    <xf numFmtId="2" fontId="13" fillId="6" borderId="10" xfId="0" applyNumberFormat="1" applyFont="1" applyFill="1" applyBorder="1"/>
    <xf numFmtId="164" fontId="13" fillId="3" borderId="23" xfId="0" applyNumberFormat="1" applyFont="1" applyFill="1" applyBorder="1"/>
    <xf numFmtId="0" fontId="13" fillId="3" borderId="28" xfId="0" applyFont="1" applyFill="1" applyBorder="1"/>
    <xf numFmtId="166" fontId="13" fillId="3" borderId="22" xfId="0" applyNumberFormat="1" applyFont="1" applyFill="1" applyBorder="1"/>
    <xf numFmtId="0" fontId="13" fillId="3" borderId="25" xfId="0" applyFont="1" applyFill="1" applyBorder="1"/>
    <xf numFmtId="0" fontId="19" fillId="3" borderId="3" xfId="0" applyFont="1" applyFill="1" applyBorder="1"/>
    <xf numFmtId="2" fontId="13" fillId="6" borderId="1" xfId="0" applyNumberFormat="1" applyFont="1" applyFill="1" applyBorder="1"/>
    <xf numFmtId="166" fontId="13" fillId="3" borderId="1" xfId="0" applyNumberFormat="1" applyFont="1" applyFill="1" applyBorder="1"/>
    <xf numFmtId="0" fontId="19" fillId="3" borderId="15" xfId="0" applyFont="1" applyFill="1" applyBorder="1"/>
    <xf numFmtId="0" fontId="23" fillId="3" borderId="1" xfId="0" applyFont="1" applyFill="1" applyBorder="1"/>
    <xf numFmtId="164" fontId="13" fillId="3" borderId="7" xfId="0" applyNumberFormat="1" applyFont="1" applyFill="1" applyBorder="1"/>
    <xf numFmtId="0" fontId="13" fillId="3" borderId="12" xfId="0" applyFont="1" applyFill="1" applyBorder="1"/>
    <xf numFmtId="0" fontId="24" fillId="3" borderId="25" xfId="0" applyFont="1" applyFill="1" applyBorder="1"/>
    <xf numFmtId="0" fontId="19" fillId="3" borderId="29" xfId="0" applyFont="1" applyFill="1" applyBorder="1" applyAlignment="1">
      <alignment horizontal="left"/>
    </xf>
    <xf numFmtId="164" fontId="14" fillId="3" borderId="2" xfId="0" applyNumberFormat="1" applyFont="1" applyFill="1" applyBorder="1"/>
    <xf numFmtId="0" fontId="14" fillId="3" borderId="3" xfId="0" applyFont="1" applyFill="1" applyBorder="1"/>
    <xf numFmtId="4" fontId="13" fillId="3" borderId="3" xfId="0" applyNumberFormat="1" applyFont="1" applyFill="1" applyBorder="1"/>
    <xf numFmtId="0" fontId="19" fillId="3" borderId="29" xfId="0" applyFont="1" applyFill="1" applyBorder="1"/>
    <xf numFmtId="4" fontId="13" fillId="3" borderId="11" xfId="0" applyNumberFormat="1" applyFont="1" applyFill="1" applyBorder="1"/>
    <xf numFmtId="4" fontId="13" fillId="3" borderId="19" xfId="0" applyNumberFormat="1" applyFont="1" applyFill="1" applyBorder="1"/>
    <xf numFmtId="164" fontId="13" fillId="7" borderId="12" xfId="0" applyNumberFormat="1" applyFont="1" applyFill="1" applyBorder="1"/>
    <xf numFmtId="164" fontId="13" fillId="3" borderId="12" xfId="0" applyNumberFormat="1" applyFont="1" applyFill="1" applyBorder="1"/>
    <xf numFmtId="2" fontId="13" fillId="3" borderId="1" xfId="0" applyNumberFormat="1" applyFont="1" applyFill="1" applyBorder="1"/>
    <xf numFmtId="46" fontId="19" fillId="3" borderId="29" xfId="0" applyNumberFormat="1" applyFont="1" applyFill="1" applyBorder="1"/>
    <xf numFmtId="0" fontId="13" fillId="3" borderId="29" xfId="0" applyFont="1" applyFill="1" applyBorder="1" applyAlignment="1">
      <alignment horizontal="right"/>
    </xf>
    <xf numFmtId="164" fontId="13" fillId="7" borderId="1" xfId="0" applyNumberFormat="1" applyFont="1" applyFill="1" applyBorder="1"/>
    <xf numFmtId="164" fontId="13" fillId="7" borderId="3" xfId="0" applyNumberFormat="1" applyFont="1" applyFill="1" applyBorder="1"/>
    <xf numFmtId="0" fontId="25" fillId="7" borderId="1" xfId="0" applyFont="1" applyFill="1" applyBorder="1"/>
    <xf numFmtId="164" fontId="14" fillId="7" borderId="3" xfId="0" applyNumberFormat="1" applyFont="1" applyFill="1" applyBorder="1"/>
    <xf numFmtId="164" fontId="14" fillId="3" borderId="3" xfId="0" applyNumberFormat="1" applyFont="1" applyFill="1" applyBorder="1"/>
    <xf numFmtId="2" fontId="17" fillId="3" borderId="15" xfId="0" applyNumberFormat="1" applyFont="1" applyFill="1" applyBorder="1"/>
    <xf numFmtId="2" fontId="17" fillId="3" borderId="11" xfId="0" applyNumberFormat="1" applyFont="1" applyFill="1" applyBorder="1"/>
    <xf numFmtId="0" fontId="19" fillId="3" borderId="2" xfId="0" applyFont="1" applyFill="1" applyBorder="1"/>
    <xf numFmtId="164" fontId="14" fillId="2" borderId="12" xfId="0" applyNumberFormat="1" applyFont="1" applyFill="1" applyBorder="1"/>
    <xf numFmtId="164" fontId="14" fillId="3" borderId="12" xfId="0" applyNumberFormat="1" applyFont="1" applyFill="1" applyBorder="1"/>
    <xf numFmtId="0" fontId="21" fillId="3" borderId="1" xfId="0" applyFont="1" applyFill="1" applyBorder="1"/>
    <xf numFmtId="0" fontId="13" fillId="3" borderId="2" xfId="0" applyFont="1" applyFill="1" applyBorder="1"/>
    <xf numFmtId="2" fontId="21" fillId="3" borderId="3" xfId="0" applyNumberFormat="1" applyFont="1" applyFill="1" applyBorder="1"/>
    <xf numFmtId="164" fontId="26" fillId="3" borderId="3" xfId="0" applyNumberFormat="1" applyFont="1" applyFill="1" applyBorder="1"/>
    <xf numFmtId="164" fontId="26" fillId="3" borderId="12" xfId="0" applyNumberFormat="1" applyFont="1" applyFill="1" applyBorder="1"/>
    <xf numFmtId="164" fontId="21" fillId="3" borderId="0" xfId="0" applyNumberFormat="1" applyFont="1" applyFill="1"/>
    <xf numFmtId="0" fontId="27" fillId="3" borderId="13" xfId="0" applyFont="1" applyFill="1" applyBorder="1"/>
    <xf numFmtId="0" fontId="13" fillId="3" borderId="13" xfId="0" applyFont="1" applyFill="1" applyBorder="1"/>
    <xf numFmtId="2" fontId="15" fillId="2" borderId="30" xfId="0" applyNumberFormat="1" applyFont="1" applyFill="1" applyBorder="1"/>
    <xf numFmtId="0" fontId="15" fillId="3" borderId="11" xfId="0" applyFont="1" applyFill="1" applyBorder="1"/>
    <xf numFmtId="2" fontId="14" fillId="2" borderId="13" xfId="0" applyNumberFormat="1" applyFont="1" applyFill="1" applyBorder="1"/>
    <xf numFmtId="164" fontId="13" fillId="0" borderId="7" xfId="0" applyNumberFormat="1" applyFont="1" applyBorder="1"/>
    <xf numFmtId="2" fontId="13" fillId="0" borderId="1" xfId="0" applyNumberFormat="1" applyFont="1" applyBorder="1"/>
    <xf numFmtId="164" fontId="13" fillId="2" borderId="3" xfId="0" applyNumberFormat="1" applyFont="1" applyFill="1" applyBorder="1"/>
    <xf numFmtId="0" fontId="28" fillId="3" borderId="33" xfId="0" applyFont="1" applyFill="1" applyBorder="1"/>
    <xf numFmtId="0" fontId="13" fillId="2" borderId="1" xfId="0" applyFont="1" applyFill="1" applyBorder="1"/>
    <xf numFmtId="0" fontId="13" fillId="4" borderId="1" xfId="0" applyFont="1" applyFill="1" applyBorder="1"/>
    <xf numFmtId="0" fontId="26" fillId="3" borderId="4" xfId="0" applyFont="1" applyFill="1" applyBorder="1"/>
    <xf numFmtId="164" fontId="26" fillId="3" borderId="19" xfId="0" applyNumberFormat="1" applyFont="1" applyFill="1" applyBorder="1"/>
    <xf numFmtId="0" fontId="13" fillId="3" borderId="38" xfId="0" applyFont="1" applyFill="1" applyBorder="1"/>
    <xf numFmtId="0" fontId="13" fillId="7" borderId="1" xfId="0" applyFont="1" applyFill="1" applyBorder="1"/>
    <xf numFmtId="0" fontId="1" fillId="3" borderId="1" xfId="0" applyFont="1" applyFill="1" applyBorder="1"/>
    <xf numFmtId="0" fontId="7" fillId="3" borderId="1" xfId="0" applyFont="1" applyFill="1" applyBorder="1"/>
    <xf numFmtId="2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3" borderId="0" xfId="0" applyFont="1" applyFill="1"/>
    <xf numFmtId="0" fontId="7" fillId="3" borderId="3" xfId="0" applyFont="1" applyFill="1" applyBorder="1"/>
    <xf numFmtId="2" fontId="13" fillId="0" borderId="6" xfId="0" applyNumberFormat="1" applyFont="1" applyBorder="1"/>
    <xf numFmtId="0" fontId="29" fillId="0" borderId="1" xfId="0" applyFont="1" applyBorder="1" applyAlignment="1">
      <alignment vertical="top"/>
    </xf>
    <xf numFmtId="0" fontId="3" fillId="3" borderId="0" xfId="0" applyFont="1" applyFill="1" applyAlignment="1">
      <alignment horizontal="center"/>
    </xf>
    <xf numFmtId="2" fontId="13" fillId="3" borderId="34" xfId="0" applyNumberFormat="1" applyFont="1" applyFill="1" applyBorder="1"/>
    <xf numFmtId="2" fontId="1" fillId="6" borderId="1" xfId="0" applyNumberFormat="1" applyFont="1" applyFill="1" applyBorder="1"/>
    <xf numFmtId="0" fontId="8" fillId="3" borderId="24" xfId="0" applyFont="1" applyFill="1" applyBorder="1"/>
    <xf numFmtId="0" fontId="1" fillId="4" borderId="1" xfId="0" applyFont="1" applyFill="1" applyBorder="1"/>
    <xf numFmtId="167" fontId="13" fillId="4" borderId="1" xfId="0" applyNumberFormat="1" applyFont="1" applyFill="1" applyBorder="1"/>
    <xf numFmtId="2" fontId="0" fillId="2" borderId="1" xfId="0" applyNumberFormat="1" applyFill="1" applyBorder="1"/>
    <xf numFmtId="0" fontId="30" fillId="0" borderId="0" xfId="0" applyFont="1"/>
    <xf numFmtId="44" fontId="1" fillId="0" borderId="0" xfId="1" applyAlignment="1">
      <alignment horizontal="right"/>
    </xf>
    <xf numFmtId="0" fontId="22" fillId="3" borderId="19" xfId="0" applyFont="1" applyFill="1" applyBorder="1"/>
    <xf numFmtId="0" fontId="1" fillId="3" borderId="29" xfId="0" applyFont="1" applyFill="1" applyBorder="1"/>
    <xf numFmtId="0" fontId="7" fillId="3" borderId="29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indent="2"/>
    </xf>
    <xf numFmtId="164" fontId="13" fillId="0" borderId="3" xfId="0" applyNumberFormat="1" applyFont="1" applyBorder="1"/>
    <xf numFmtId="164" fontId="1" fillId="3" borderId="1" xfId="0" applyNumberFormat="1" applyFont="1" applyFill="1" applyBorder="1"/>
    <xf numFmtId="43" fontId="1" fillId="0" borderId="0" xfId="2" applyFont="1"/>
    <xf numFmtId="2" fontId="7" fillId="0" borderId="8" xfId="0" applyNumberFormat="1" applyFont="1" applyBorder="1"/>
    <xf numFmtId="168" fontId="0" fillId="0" borderId="0" xfId="0" applyNumberFormat="1"/>
    <xf numFmtId="20" fontId="0" fillId="0" borderId="0" xfId="0" applyNumberForma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/>
    <xf numFmtId="0" fontId="30" fillId="3" borderId="2" xfId="0" applyFont="1" applyFill="1" applyBorder="1"/>
    <xf numFmtId="0" fontId="30" fillId="3" borderId="0" xfId="0" applyFont="1" applyFill="1"/>
    <xf numFmtId="0" fontId="1" fillId="3" borderId="1" xfId="0" applyFont="1" applyFill="1" applyBorder="1" applyAlignment="1">
      <alignment horizontal="left" indent="1"/>
    </xf>
    <xf numFmtId="2" fontId="1" fillId="3" borderId="34" xfId="0" applyNumberFormat="1" applyFont="1" applyFill="1" applyBorder="1"/>
    <xf numFmtId="164" fontId="1" fillId="3" borderId="3" xfId="0" applyNumberFormat="1" applyFont="1" applyFill="1" applyBorder="1"/>
    <xf numFmtId="0" fontId="3" fillId="3" borderId="0" xfId="0" applyFont="1" applyFill="1"/>
    <xf numFmtId="167" fontId="13" fillId="3" borderId="0" xfId="0" applyNumberFormat="1" applyFont="1" applyFill="1"/>
    <xf numFmtId="0" fontId="7" fillId="3" borderId="29" xfId="0" applyFont="1" applyFill="1" applyBorder="1"/>
    <xf numFmtId="1" fontId="0" fillId="0" borderId="1" xfId="0" applyNumberFormat="1" applyBorder="1" applyAlignment="1">
      <alignment horizontal="center"/>
    </xf>
    <xf numFmtId="44" fontId="1" fillId="3" borderId="0" xfId="1" applyFont="1" applyFill="1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2" fontId="0" fillId="2" borderId="0" xfId="0" applyNumberFormat="1" applyFill="1"/>
    <xf numFmtId="1" fontId="1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1" fillId="6" borderId="1" xfId="0" applyFont="1" applyFill="1" applyBorder="1"/>
    <xf numFmtId="164" fontId="15" fillId="3" borderId="0" xfId="0" applyNumberFormat="1" applyFont="1" applyFill="1"/>
    <xf numFmtId="0" fontId="3" fillId="3" borderId="22" xfId="0" applyFont="1" applyFill="1" applyBorder="1"/>
    <xf numFmtId="0" fontId="14" fillId="3" borderId="28" xfId="0" applyFont="1" applyFill="1" applyBorder="1" applyAlignment="1">
      <alignment horizontal="center"/>
    </xf>
    <xf numFmtId="0" fontId="14" fillId="3" borderId="41" xfId="0" applyFont="1" applyFill="1" applyBorder="1" applyAlignment="1">
      <alignment horizontal="center"/>
    </xf>
    <xf numFmtId="0" fontId="13" fillId="3" borderId="42" xfId="0" applyFont="1" applyFill="1" applyBorder="1"/>
    <xf numFmtId="0" fontId="13" fillId="3" borderId="43" xfId="0" applyFont="1" applyFill="1" applyBorder="1"/>
    <xf numFmtId="0" fontId="3" fillId="3" borderId="13" xfId="0" applyFont="1" applyFill="1" applyBorder="1"/>
    <xf numFmtId="164" fontId="14" fillId="3" borderId="44" xfId="0" applyNumberFormat="1" applyFont="1" applyFill="1" applyBorder="1"/>
    <xf numFmtId="164" fontId="15" fillId="2" borderId="39" xfId="0" applyNumberFormat="1" applyFont="1" applyFill="1" applyBorder="1"/>
    <xf numFmtId="164" fontId="15" fillId="3" borderId="45" xfId="0" applyNumberFormat="1" applyFont="1" applyFill="1" applyBorder="1"/>
    <xf numFmtId="166" fontId="13" fillId="3" borderId="0" xfId="0" applyNumberFormat="1" applyFont="1" applyFill="1"/>
    <xf numFmtId="165" fontId="13" fillId="3" borderId="0" xfId="1" applyNumberFormat="1" applyFont="1" applyFill="1" applyBorder="1"/>
    <xf numFmtId="0" fontId="3" fillId="3" borderId="1" xfId="0" applyFont="1" applyFill="1" applyBorder="1" applyAlignment="1">
      <alignment horizontal="left"/>
    </xf>
    <xf numFmtId="0" fontId="31" fillId="3" borderId="1" xfId="0" applyFont="1" applyFill="1" applyBorder="1" applyAlignment="1">
      <alignment horizontal="left" indent="1"/>
    </xf>
    <xf numFmtId="2" fontId="1" fillId="0" borderId="1" xfId="0" applyNumberFormat="1" applyFont="1" applyBorder="1"/>
    <xf numFmtId="2" fontId="1" fillId="2" borderId="3" xfId="0" applyNumberFormat="1" applyFont="1" applyFill="1" applyBorder="1"/>
    <xf numFmtId="0" fontId="17" fillId="3" borderId="46" xfId="0" applyFont="1" applyFill="1" applyBorder="1"/>
    <xf numFmtId="2" fontId="15" fillId="0" borderId="0" xfId="0" applyNumberFormat="1" applyFont="1"/>
    <xf numFmtId="0" fontId="13" fillId="0" borderId="0" xfId="0" applyFont="1"/>
    <xf numFmtId="0" fontId="13" fillId="6" borderId="1" xfId="0" applyFont="1" applyFill="1" applyBorder="1"/>
    <xf numFmtId="0" fontId="27" fillId="0" borderId="0" xfId="0" applyFont="1"/>
    <xf numFmtId="0" fontId="15" fillId="0" borderId="0" xfId="0" applyFont="1"/>
    <xf numFmtId="2" fontId="14" fillId="0" borderId="0" xfId="0" applyNumberFormat="1" applyFont="1"/>
    <xf numFmtId="0" fontId="17" fillId="0" borderId="0" xfId="0" applyFont="1"/>
    <xf numFmtId="0" fontId="4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vertical="top" wrapText="1"/>
    </xf>
    <xf numFmtId="165" fontId="1" fillId="3" borderId="0" xfId="1" applyNumberFormat="1" applyFont="1" applyFill="1" applyBorder="1"/>
    <xf numFmtId="0" fontId="1" fillId="3" borderId="34" xfId="0" applyFont="1" applyFill="1" applyBorder="1"/>
    <xf numFmtId="0" fontId="1" fillId="3" borderId="33" xfId="0" applyFont="1" applyFill="1" applyBorder="1"/>
    <xf numFmtId="2" fontId="17" fillId="4" borderId="26" xfId="0" applyNumberFormat="1" applyFont="1" applyFill="1" applyBorder="1" applyAlignment="1">
      <alignment horizontal="left" indent="2"/>
    </xf>
    <xf numFmtId="0" fontId="8" fillId="3" borderId="21" xfId="0" applyFont="1" applyFill="1" applyBorder="1"/>
    <xf numFmtId="166" fontId="1" fillId="5" borderId="27" xfId="0" applyNumberFormat="1" applyFont="1" applyFill="1" applyBorder="1"/>
    <xf numFmtId="2" fontId="1" fillId="3" borderId="1" xfId="0" applyNumberFormat="1" applyFont="1" applyFill="1" applyBorder="1"/>
    <xf numFmtId="43" fontId="1" fillId="0" borderId="8" xfId="2" applyFont="1" applyBorder="1"/>
    <xf numFmtId="43" fontId="0" fillId="0" borderId="0" xfId="0" applyNumberFormat="1"/>
    <xf numFmtId="164" fontId="3" fillId="0" borderId="0" xfId="0" applyNumberFormat="1" applyFont="1"/>
    <xf numFmtId="43" fontId="13" fillId="3" borderId="0" xfId="0" applyNumberFormat="1" applyFont="1" applyFill="1"/>
    <xf numFmtId="0" fontId="4" fillId="3" borderId="1" xfId="0" applyFont="1" applyFill="1" applyBorder="1" applyAlignment="1">
      <alignment horizontal="left" indent="2"/>
    </xf>
    <xf numFmtId="0" fontId="18" fillId="3" borderId="22" xfId="0" applyFont="1" applyFill="1" applyBorder="1"/>
    <xf numFmtId="166" fontId="13" fillId="6" borderId="47" xfId="0" applyNumberFormat="1" applyFont="1" applyFill="1" applyBorder="1"/>
    <xf numFmtId="43" fontId="13" fillId="3" borderId="0" xfId="2" applyFont="1" applyFill="1" applyBorder="1"/>
    <xf numFmtId="0" fontId="1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8" borderId="0" xfId="0" applyFont="1" applyFill="1" applyAlignment="1">
      <alignment horizontal="center"/>
    </xf>
    <xf numFmtId="169" fontId="0" fillId="0" borderId="0" xfId="2" applyNumberFormat="1" applyFont="1"/>
    <xf numFmtId="2" fontId="0" fillId="0" borderId="6" xfId="0" applyNumberFormat="1" applyBorder="1"/>
    <xf numFmtId="2" fontId="0" fillId="0" borderId="49" xfId="0" applyNumberFormat="1" applyBorder="1"/>
    <xf numFmtId="170" fontId="0" fillId="0" borderId="0" xfId="0" applyNumberFormat="1"/>
    <xf numFmtId="2" fontId="13" fillId="3" borderId="0" xfId="0" applyNumberFormat="1" applyFont="1" applyFill="1"/>
    <xf numFmtId="0" fontId="33" fillId="3" borderId="0" xfId="0" applyFont="1" applyFill="1"/>
    <xf numFmtId="2" fontId="30" fillId="3" borderId="0" xfId="0" applyNumberFormat="1" applyFont="1" applyFill="1"/>
    <xf numFmtId="164" fontId="13" fillId="3" borderId="24" xfId="0" applyNumberFormat="1" applyFont="1" applyFill="1" applyBorder="1"/>
    <xf numFmtId="10" fontId="13" fillId="4" borderId="1" xfId="0" applyNumberFormat="1" applyFont="1" applyFill="1" applyBorder="1"/>
    <xf numFmtId="166" fontId="8" fillId="3" borderId="0" xfId="0" applyNumberFormat="1" applyFont="1" applyFill="1" applyAlignment="1">
      <alignment horizontal="right"/>
    </xf>
    <xf numFmtId="0" fontId="1" fillId="3" borderId="4" xfId="0" applyFont="1" applyFill="1" applyBorder="1"/>
    <xf numFmtId="164" fontId="26" fillId="3" borderId="15" xfId="0" applyNumberFormat="1" applyFont="1" applyFill="1" applyBorder="1"/>
    <xf numFmtId="166" fontId="1" fillId="3" borderId="1" xfId="0" applyNumberFormat="1" applyFont="1" applyFill="1" applyBorder="1"/>
    <xf numFmtId="2" fontId="22" fillId="3" borderId="7" xfId="0" applyNumberFormat="1" applyFont="1" applyFill="1" applyBorder="1"/>
    <xf numFmtId="2" fontId="13" fillId="4" borderId="50" xfId="0" applyNumberFormat="1" applyFont="1" applyFill="1" applyBorder="1"/>
    <xf numFmtId="0" fontId="1" fillId="4" borderId="0" xfId="0" applyFont="1" applyFill="1"/>
    <xf numFmtId="2" fontId="13" fillId="4" borderId="45" xfId="0" applyNumberFormat="1" applyFont="1" applyFill="1" applyBorder="1"/>
    <xf numFmtId="2" fontId="13" fillId="4" borderId="51" xfId="0" applyNumberFormat="1" applyFont="1" applyFill="1" applyBorder="1"/>
    <xf numFmtId="0" fontId="8" fillId="3" borderId="36" xfId="0" applyFont="1" applyFill="1" applyBorder="1"/>
    <xf numFmtId="0" fontId="8" fillId="3" borderId="21" xfId="0" applyFont="1" applyFill="1" applyBorder="1" applyAlignment="1">
      <alignment vertical="top" wrapText="1"/>
    </xf>
    <xf numFmtId="0" fontId="1" fillId="3" borderId="22" xfId="0" applyFont="1" applyFill="1" applyBorder="1" applyAlignment="1">
      <alignment vertical="top" wrapText="1"/>
    </xf>
    <xf numFmtId="43" fontId="0" fillId="0" borderId="0" xfId="2" applyFont="1"/>
    <xf numFmtId="43" fontId="0" fillId="0" borderId="8" xfId="2" applyFont="1" applyBorder="1"/>
    <xf numFmtId="2" fontId="1" fillId="0" borderId="8" xfId="0" applyNumberFormat="1" applyFont="1" applyBorder="1"/>
    <xf numFmtId="43" fontId="0" fillId="8" borderId="0" xfId="2" applyFont="1" applyFill="1"/>
    <xf numFmtId="0" fontId="34" fillId="9" borderId="0" xfId="3"/>
    <xf numFmtId="2" fontId="1" fillId="3" borderId="0" xfId="0" applyNumberFormat="1" applyFont="1" applyFill="1"/>
    <xf numFmtId="43" fontId="1" fillId="3" borderId="0" xfId="2" applyFont="1" applyFill="1" applyBorder="1"/>
    <xf numFmtId="43" fontId="34" fillId="9" borderId="0" xfId="3" applyNumberFormat="1" applyBorder="1"/>
    <xf numFmtId="0" fontId="1" fillId="3" borderId="0" xfId="0" applyFont="1" applyFill="1" applyAlignment="1">
      <alignment horizontal="center"/>
    </xf>
    <xf numFmtId="0" fontId="34" fillId="0" borderId="0" xfId="3" applyFill="1" applyAlignment="1">
      <alignment horizontal="left" indent="2"/>
    </xf>
    <xf numFmtId="2" fontId="1" fillId="3" borderId="2" xfId="0" applyNumberFormat="1" applyFont="1" applyFill="1" applyBorder="1"/>
    <xf numFmtId="10" fontId="13" fillId="4" borderId="25" xfId="0" applyNumberFormat="1" applyFont="1" applyFill="1" applyBorder="1"/>
    <xf numFmtId="2" fontId="17" fillId="3" borderId="19" xfId="0" applyNumberFormat="1" applyFont="1" applyFill="1" applyBorder="1"/>
    <xf numFmtId="167" fontId="13" fillId="0" borderId="1" xfId="0" applyNumberFormat="1" applyFont="1" applyBorder="1"/>
    <xf numFmtId="0" fontId="1" fillId="0" borderId="1" xfId="0" applyFont="1" applyBorder="1" applyAlignment="1">
      <alignment horizontal="left" indent="2"/>
    </xf>
    <xf numFmtId="0" fontId="13" fillId="0" borderId="1" xfId="0" applyFont="1" applyBorder="1"/>
    <xf numFmtId="164" fontId="13" fillId="3" borderId="15" xfId="0" applyNumberFormat="1" applyFont="1" applyFill="1" applyBorder="1"/>
    <xf numFmtId="44" fontId="0" fillId="0" borderId="1" xfId="1" applyFont="1" applyBorder="1"/>
    <xf numFmtId="164" fontId="14" fillId="0" borderId="12" xfId="0" applyNumberFormat="1" applyFont="1" applyBorder="1"/>
    <xf numFmtId="164" fontId="13" fillId="2" borderId="1" xfId="0" applyNumberFormat="1" applyFont="1" applyFill="1" applyBorder="1"/>
    <xf numFmtId="164" fontId="13" fillId="0" borderId="13" xfId="0" applyNumberFormat="1" applyFont="1" applyBorder="1"/>
    <xf numFmtId="0" fontId="1" fillId="3" borderId="0" xfId="0" applyFont="1" applyFill="1" applyAlignment="1">
      <alignment horizontal="left"/>
    </xf>
    <xf numFmtId="165" fontId="1" fillId="3" borderId="0" xfId="1" applyNumberFormat="1" applyFont="1" applyFill="1" applyBorder="1" applyAlignment="1">
      <alignment horizontal="left"/>
    </xf>
    <xf numFmtId="164" fontId="13" fillId="0" borderId="18" xfId="0" applyNumberFormat="1" applyFont="1" applyBorder="1"/>
    <xf numFmtId="0" fontId="37" fillId="3" borderId="1" xfId="0" applyFont="1" applyFill="1" applyBorder="1"/>
    <xf numFmtId="0" fontId="38" fillId="3" borderId="1" xfId="0" applyFont="1" applyFill="1" applyBorder="1"/>
    <xf numFmtId="0" fontId="35" fillId="0" borderId="1" xfId="0" applyFont="1" applyBorder="1"/>
    <xf numFmtId="0" fontId="33" fillId="0" borderId="1" xfId="0" applyFont="1" applyBorder="1"/>
    <xf numFmtId="44" fontId="33" fillId="0" borderId="39" xfId="1" applyFont="1" applyFill="1" applyBorder="1"/>
    <xf numFmtId="0" fontId="33" fillId="0" borderId="8" xfId="0" applyFont="1" applyBorder="1"/>
    <xf numFmtId="0" fontId="33" fillId="0" borderId="0" xfId="0" applyFont="1"/>
    <xf numFmtId="0" fontId="35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2" fontId="33" fillId="3" borderId="1" xfId="0" applyNumberFormat="1" applyFont="1" applyFill="1" applyBorder="1"/>
    <xf numFmtId="44" fontId="1" fillId="3" borderId="2" xfId="1" applyFont="1" applyFill="1" applyBorder="1"/>
    <xf numFmtId="44" fontId="1" fillId="3" borderId="1" xfId="1" applyFont="1" applyFill="1" applyBorder="1"/>
    <xf numFmtId="44" fontId="13" fillId="3" borderId="7" xfId="1" applyFont="1" applyFill="1" applyBorder="1"/>
    <xf numFmtId="0" fontId="39" fillId="3" borderId="32" xfId="0" applyFont="1" applyFill="1" applyBorder="1"/>
    <xf numFmtId="0" fontId="39" fillId="3" borderId="29" xfId="0" applyFont="1" applyFill="1" applyBorder="1"/>
    <xf numFmtId="164" fontId="0" fillId="8" borderId="0" xfId="0" applyNumberFormat="1" applyFill="1"/>
    <xf numFmtId="2" fontId="1" fillId="3" borderId="13" xfId="0" applyNumberFormat="1" applyFont="1" applyFill="1" applyBorder="1"/>
    <xf numFmtId="0" fontId="3" fillId="0" borderId="1" xfId="0" applyFont="1" applyBorder="1" applyAlignment="1">
      <alignment horizontal="center"/>
    </xf>
    <xf numFmtId="2" fontId="3" fillId="8" borderId="6" xfId="0" applyNumberFormat="1" applyFont="1" applyFill="1" applyBorder="1"/>
    <xf numFmtId="0" fontId="1" fillId="0" borderId="0" xfId="0" applyFont="1" applyAlignment="1">
      <alignment wrapText="1"/>
    </xf>
    <xf numFmtId="169" fontId="0" fillId="0" borderId="0" xfId="2" applyNumberFormat="1" applyFont="1" applyFill="1"/>
    <xf numFmtId="43" fontId="0" fillId="0" borderId="0" xfId="2" applyFont="1" applyFill="1"/>
    <xf numFmtId="0" fontId="1" fillId="0" borderId="3" xfId="0" applyFont="1" applyBorder="1"/>
    <xf numFmtId="43" fontId="17" fillId="4" borderId="14" xfId="2" applyFont="1" applyFill="1" applyBorder="1"/>
    <xf numFmtId="2" fontId="6" fillId="0" borderId="6" xfId="0" applyNumberFormat="1" applyFont="1" applyBorder="1"/>
    <xf numFmtId="0" fontId="1" fillId="0" borderId="3" xfId="0" applyFont="1" applyBorder="1" applyAlignment="1">
      <alignment horizontal="left" indent="1"/>
    </xf>
    <xf numFmtId="0" fontId="1" fillId="0" borderId="12" xfId="0" applyFont="1" applyBorder="1" applyAlignment="1">
      <alignment horizontal="left" indent="1"/>
    </xf>
    <xf numFmtId="0" fontId="1" fillId="0" borderId="40" xfId="0" applyFont="1" applyBorder="1" applyAlignment="1">
      <alignment horizontal="left" indent="1"/>
    </xf>
    <xf numFmtId="44" fontId="33" fillId="0" borderId="1" xfId="1" applyFont="1" applyFill="1" applyBorder="1"/>
    <xf numFmtId="1" fontId="0" fillId="2" borderId="1" xfId="0" applyNumberFormat="1" applyFill="1" applyBorder="1" applyAlignment="1">
      <alignment horizontal="center"/>
    </xf>
    <xf numFmtId="44" fontId="1" fillId="0" borderId="2" xfId="1" applyFont="1" applyFill="1" applyBorder="1"/>
    <xf numFmtId="44" fontId="1" fillId="3" borderId="7" xfId="1" applyFont="1" applyFill="1" applyBorder="1"/>
    <xf numFmtId="0" fontId="22" fillId="3" borderId="15" xfId="0" applyFont="1" applyFill="1" applyBorder="1"/>
    <xf numFmtId="166" fontId="13" fillId="0" borderId="1" xfId="0" applyNumberFormat="1" applyFont="1" applyBorder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indent="2"/>
    </xf>
    <xf numFmtId="43" fontId="3" fillId="0" borderId="0" xfId="2" applyFont="1" applyBorder="1"/>
    <xf numFmtId="2" fontId="0" fillId="8" borderId="1" xfId="0" applyNumberFormat="1" applyFill="1" applyBorder="1"/>
    <xf numFmtId="2" fontId="0" fillId="8" borderId="49" xfId="0" applyNumberFormat="1" applyFill="1" applyBorder="1"/>
    <xf numFmtId="2" fontId="3" fillId="8" borderId="1" xfId="0" applyNumberFormat="1" applyFont="1" applyFill="1" applyBorder="1"/>
    <xf numFmtId="0" fontId="35" fillId="0" borderId="0" xfId="0" applyFont="1"/>
    <xf numFmtId="169" fontId="1" fillId="0" borderId="0" xfId="2" applyNumberFormat="1" applyFont="1" applyBorder="1"/>
    <xf numFmtId="43" fontId="1" fillId="0" borderId="0" xfId="2" applyFont="1" applyBorder="1"/>
    <xf numFmtId="169" fontId="0" fillId="0" borderId="0" xfId="2" applyNumberFormat="1" applyFont="1" applyBorder="1"/>
    <xf numFmtId="43" fontId="0" fillId="0" borderId="0" xfId="2" applyFont="1" applyBorder="1"/>
    <xf numFmtId="0" fontId="1" fillId="0" borderId="0" xfId="0" applyFont="1" applyAlignment="1">
      <alignment horizontal="right"/>
    </xf>
    <xf numFmtId="43" fontId="3" fillId="0" borderId="0" xfId="2" applyFont="1" applyFill="1" applyBorder="1"/>
    <xf numFmtId="2" fontId="3" fillId="0" borderId="0" xfId="0" applyNumberFormat="1" applyFont="1" applyAlignment="1">
      <alignment vertical="center"/>
    </xf>
    <xf numFmtId="166" fontId="1" fillId="2" borderId="27" xfId="0" applyNumberFormat="1" applyFont="1" applyFill="1" applyBorder="1"/>
    <xf numFmtId="2" fontId="13" fillId="5" borderId="1" xfId="0" applyNumberFormat="1" applyFont="1" applyFill="1" applyBorder="1"/>
    <xf numFmtId="0" fontId="15" fillId="3" borderId="9" xfId="0" applyFont="1" applyFill="1" applyBorder="1" applyAlignment="1">
      <alignment horizontal="center"/>
    </xf>
    <xf numFmtId="164" fontId="1" fillId="3" borderId="0" xfId="0" applyNumberFormat="1" applyFont="1" applyFill="1"/>
    <xf numFmtId="0" fontId="1" fillId="3" borderId="25" xfId="0" applyFont="1" applyFill="1" applyBorder="1"/>
    <xf numFmtId="44" fontId="5" fillId="0" borderId="1" xfId="1" applyFont="1" applyBorder="1"/>
    <xf numFmtId="167" fontId="34" fillId="9" borderId="0" xfId="4" applyNumberFormat="1" applyFont="1" applyFill="1"/>
    <xf numFmtId="167" fontId="13" fillId="3" borderId="48" xfId="0" applyNumberFormat="1" applyFont="1" applyFill="1" applyBorder="1"/>
    <xf numFmtId="164" fontId="13" fillId="0" borderId="1" xfId="0" applyNumberFormat="1" applyFont="1" applyBorder="1"/>
    <xf numFmtId="0" fontId="41" fillId="3" borderId="20" xfId="0" applyFont="1" applyFill="1" applyBorder="1" applyAlignment="1">
      <alignment horizontal="center"/>
    </xf>
    <xf numFmtId="167" fontId="1" fillId="3" borderId="0" xfId="0" applyNumberFormat="1" applyFont="1" applyFill="1"/>
    <xf numFmtId="0" fontId="29" fillId="10" borderId="1" xfId="0" applyFont="1" applyFill="1" applyBorder="1" applyAlignment="1">
      <alignment vertical="top"/>
    </xf>
    <xf numFmtId="44" fontId="40" fillId="3" borderId="2" xfId="1" applyFont="1" applyFill="1" applyBorder="1"/>
    <xf numFmtId="0" fontId="40" fillId="3" borderId="1" xfId="0" applyFont="1" applyFill="1" applyBorder="1" applyAlignment="1">
      <alignment horizontal="left" indent="1"/>
    </xf>
    <xf numFmtId="0" fontId="32" fillId="3" borderId="23" xfId="0" applyFont="1" applyFill="1" applyBorder="1" applyAlignment="1">
      <alignment horizontal="center"/>
    </xf>
    <xf numFmtId="164" fontId="32" fillId="3" borderId="0" xfId="0" applyNumberFormat="1" applyFont="1" applyFill="1"/>
    <xf numFmtId="0" fontId="3" fillId="3" borderId="32" xfId="0" applyFont="1" applyFill="1" applyBorder="1"/>
    <xf numFmtId="167" fontId="13" fillId="4" borderId="25" xfId="0" applyNumberFormat="1" applyFont="1" applyFill="1" applyBorder="1"/>
    <xf numFmtId="0" fontId="3" fillId="2" borderId="1" xfId="0" applyFont="1" applyFill="1" applyBorder="1"/>
    <xf numFmtId="0" fontId="1" fillId="11" borderId="1" xfId="0" applyFont="1" applyFill="1" applyBorder="1" applyAlignment="1">
      <alignment horizontal="left"/>
    </xf>
    <xf numFmtId="0" fontId="0" fillId="0" borderId="32" xfId="0" applyBorder="1"/>
    <xf numFmtId="2" fontId="1" fillId="0" borderId="24" xfId="0" applyNumberFormat="1" applyFont="1" applyBorder="1"/>
    <xf numFmtId="2" fontId="0" fillId="0" borderId="33" xfId="0" applyNumberFormat="1" applyBorder="1"/>
    <xf numFmtId="0" fontId="0" fillId="0" borderId="37" xfId="0" applyBorder="1"/>
    <xf numFmtId="43" fontId="0" fillId="0" borderId="8" xfId="2" applyFont="1" applyBorder="1" applyAlignment="1">
      <alignment horizontal="left"/>
    </xf>
    <xf numFmtId="2" fontId="0" fillId="0" borderId="40" xfId="0" applyNumberFormat="1" applyBorder="1"/>
    <xf numFmtId="2" fontId="0" fillId="0" borderId="13" xfId="0" applyNumberFormat="1" applyBorder="1"/>
    <xf numFmtId="43" fontId="1" fillId="0" borderId="13" xfId="2" applyFont="1" applyBorder="1"/>
    <xf numFmtId="2" fontId="0" fillId="8" borderId="40" xfId="0" applyNumberFormat="1" applyFill="1" applyBorder="1"/>
    <xf numFmtId="2" fontId="1" fillId="0" borderId="13" xfId="0" applyNumberFormat="1" applyFont="1" applyBorder="1"/>
    <xf numFmtId="43" fontId="1" fillId="8" borderId="13" xfId="2" applyFont="1" applyFill="1" applyBorder="1"/>
    <xf numFmtId="2" fontId="0" fillId="2" borderId="35" xfId="0" applyNumberFormat="1" applyFill="1" applyBorder="1"/>
    <xf numFmtId="1" fontId="0" fillId="0" borderId="0" xfId="0" applyNumberFormat="1"/>
    <xf numFmtId="44" fontId="0" fillId="0" borderId="0" xfId="1" applyFont="1" applyFill="1" applyBorder="1"/>
    <xf numFmtId="44" fontId="0" fillId="0" borderId="0" xfId="0" applyNumberFormat="1"/>
    <xf numFmtId="44" fontId="22" fillId="3" borderId="1" xfId="1" applyFont="1" applyFill="1" applyBorder="1"/>
  </cellXfs>
  <cellStyles count="5">
    <cellStyle name="Bad" xfId="3" builtinId="27"/>
    <cellStyle name="Comma" xfId="2" builtinId="3"/>
    <cellStyle name="Currency" xfId="1" builtinId="4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pane ySplit="4" topLeftCell="A13" activePane="bottomLeft" state="frozen"/>
      <selection pane="bottomLeft" activeCell="D110" sqref="D110"/>
    </sheetView>
  </sheetViews>
  <sheetFormatPr defaultColWidth="9.109375" defaultRowHeight="13.2" x14ac:dyDescent="0.25"/>
  <cols>
    <col min="1" max="1" width="16.33203125" style="27" customWidth="1"/>
    <col min="2" max="2" width="52.88671875" style="27" customWidth="1"/>
    <col min="3" max="3" width="12" style="27" customWidth="1"/>
    <col min="4" max="4" width="14.44140625" style="27" bestFit="1" customWidth="1"/>
    <col min="5" max="5" width="2.5546875" style="27" customWidth="1"/>
    <col min="6" max="6" width="11" style="27" customWidth="1"/>
    <col min="7" max="7" width="8.109375" style="27" customWidth="1"/>
    <col min="8" max="8" width="9" style="27" bestFit="1" customWidth="1"/>
    <col min="9" max="9" width="10.6640625" style="27" customWidth="1"/>
    <col min="10" max="10" width="18.6640625" style="27" customWidth="1"/>
    <col min="11" max="11" width="10.33203125" style="27" bestFit="1" customWidth="1"/>
    <col min="12" max="16384" width="9.109375" style="27"/>
  </cols>
  <sheetData>
    <row r="1" spans="1:10" x14ac:dyDescent="0.25">
      <c r="B1" s="158" t="s">
        <v>69</v>
      </c>
    </row>
    <row r="2" spans="1:10" x14ac:dyDescent="0.25">
      <c r="B2" s="158" t="s">
        <v>140</v>
      </c>
    </row>
    <row r="3" spans="1:10" ht="15" thickBot="1" x14ac:dyDescent="0.35">
      <c r="A3" s="28"/>
      <c r="B3" s="158"/>
      <c r="I3" s="265" t="s">
        <v>153</v>
      </c>
      <c r="J3" s="265"/>
    </row>
    <row r="4" spans="1:10" ht="14.4" x14ac:dyDescent="0.3">
      <c r="A4" s="29"/>
      <c r="B4" s="30"/>
      <c r="C4" s="31"/>
      <c r="D4" s="161" t="s">
        <v>139</v>
      </c>
      <c r="E4" s="32"/>
      <c r="F4" s="342" t="s">
        <v>125</v>
      </c>
      <c r="G4" s="349" t="s">
        <v>172</v>
      </c>
      <c r="H4" s="141"/>
      <c r="I4" s="268" t="s">
        <v>154</v>
      </c>
      <c r="J4" s="265"/>
    </row>
    <row r="5" spans="1:10" x14ac:dyDescent="0.25">
      <c r="A5" s="258" t="s">
        <v>95</v>
      </c>
      <c r="B5" s="34"/>
      <c r="C5" s="36" t="s">
        <v>28</v>
      </c>
      <c r="D5" s="35" t="s">
        <v>26</v>
      </c>
      <c r="E5" s="37"/>
      <c r="F5" s="335" t="s">
        <v>21</v>
      </c>
      <c r="G5" s="38"/>
      <c r="H5" s="39"/>
      <c r="I5" s="154"/>
      <c r="J5" s="154"/>
    </row>
    <row r="6" spans="1:10" x14ac:dyDescent="0.25">
      <c r="A6" s="154" t="s">
        <v>143</v>
      </c>
      <c r="B6" s="41" t="s">
        <v>150</v>
      </c>
      <c r="C6" s="43"/>
      <c r="D6" s="42"/>
      <c r="E6" s="43"/>
      <c r="F6" s="44"/>
      <c r="G6" s="38"/>
      <c r="H6" s="223" t="s">
        <v>75</v>
      </c>
      <c r="I6" s="236"/>
      <c r="J6" s="154"/>
    </row>
    <row r="7" spans="1:10" x14ac:dyDescent="0.25">
      <c r="A7" s="154" t="s">
        <v>104</v>
      </c>
      <c r="B7" s="182" t="s">
        <v>149</v>
      </c>
      <c r="C7" s="51">
        <v>750</v>
      </c>
      <c r="D7" s="228">
        <f>C7/50</f>
        <v>15</v>
      </c>
      <c r="E7" s="47"/>
      <c r="F7" s="44">
        <v>1000</v>
      </c>
      <c r="G7" s="48" t="s">
        <v>15</v>
      </c>
      <c r="H7" s="308">
        <v>20</v>
      </c>
      <c r="I7" s="186">
        <v>0.05</v>
      </c>
      <c r="J7" s="154" t="s">
        <v>142</v>
      </c>
    </row>
    <row r="8" spans="1:10" x14ac:dyDescent="0.25">
      <c r="A8" s="154" t="s">
        <v>82</v>
      </c>
      <c r="B8" s="149" t="s">
        <v>151</v>
      </c>
      <c r="C8" s="51"/>
      <c r="D8" s="294"/>
      <c r="E8" s="52"/>
      <c r="F8" s="44"/>
      <c r="G8" s="48" t="s">
        <v>33</v>
      </c>
      <c r="H8" s="49"/>
      <c r="I8" s="340">
        <v>5.0000000000000001E-3</v>
      </c>
      <c r="J8" s="154" t="s">
        <v>107</v>
      </c>
    </row>
    <row r="9" spans="1:10" ht="15" thickBot="1" x14ac:dyDescent="0.35">
      <c r="A9" s="154" t="s">
        <v>79</v>
      </c>
      <c r="B9" s="148" t="s">
        <v>152</v>
      </c>
      <c r="C9" s="228">
        <v>600</v>
      </c>
      <c r="D9" s="51">
        <f>C9/50</f>
        <v>12</v>
      </c>
      <c r="E9" s="53"/>
      <c r="F9" s="44">
        <v>250</v>
      </c>
      <c r="G9" s="350">
        <v>5.5E-2</v>
      </c>
      <c r="H9" s="225">
        <f>H7*G9</f>
        <v>1.1000000000000001</v>
      </c>
      <c r="I9" s="339">
        <f>SUM(I7:I8)</f>
        <v>5.5E-2</v>
      </c>
      <c r="J9" s="154"/>
    </row>
    <row r="10" spans="1:10" x14ac:dyDescent="0.25">
      <c r="A10" s="154" t="s">
        <v>78</v>
      </c>
      <c r="B10" s="148" t="s">
        <v>184</v>
      </c>
      <c r="C10" s="228">
        <f>D10*50</f>
        <v>50</v>
      </c>
      <c r="D10" s="51">
        <v>1</v>
      </c>
      <c r="E10" s="47"/>
      <c r="F10" s="44">
        <v>80</v>
      </c>
      <c r="G10" s="55"/>
      <c r="H10" s="56">
        <f>SUM(H7:H9)</f>
        <v>21.1</v>
      </c>
      <c r="I10" s="54"/>
      <c r="J10" s="154"/>
    </row>
    <row r="11" spans="1:10" x14ac:dyDescent="0.25">
      <c r="A11" s="38"/>
      <c r="B11" s="179" t="s">
        <v>87</v>
      </c>
      <c r="C11" s="228"/>
      <c r="D11" s="172">
        <f>H10</f>
        <v>21.1</v>
      </c>
      <c r="E11" s="57"/>
      <c r="F11" s="44">
        <v>617.48</v>
      </c>
      <c r="G11" s="38"/>
      <c r="H11" s="58"/>
      <c r="I11" s="59"/>
      <c r="J11" s="45"/>
    </row>
    <row r="12" spans="1:10" ht="13.8" thickBot="1" x14ac:dyDescent="0.3">
      <c r="A12" s="38"/>
      <c r="B12" s="148"/>
      <c r="C12" s="301"/>
      <c r="D12" s="61"/>
      <c r="E12" s="62"/>
      <c r="F12" s="44"/>
      <c r="G12" s="38"/>
      <c r="H12" s="39"/>
      <c r="J12" s="154"/>
    </row>
    <row r="13" spans="1:10" x14ac:dyDescent="0.25">
      <c r="A13" s="38"/>
      <c r="B13" s="179" t="s">
        <v>1</v>
      </c>
      <c r="C13" s="138">
        <f>SUM(C7:C12)</f>
        <v>1400</v>
      </c>
      <c r="D13" s="156">
        <f>SUM(D7:D11)</f>
        <v>49.1</v>
      </c>
      <c r="E13" s="64"/>
      <c r="F13" s="235">
        <f>SUM(F7:F12)</f>
        <v>1947.48</v>
      </c>
      <c r="G13" s="168"/>
      <c r="H13" s="39"/>
    </row>
    <row r="14" spans="1:10" x14ac:dyDescent="0.25">
      <c r="A14" s="38"/>
      <c r="B14" s="50"/>
      <c r="C14" s="65"/>
      <c r="D14" s="66"/>
      <c r="E14" s="66"/>
      <c r="F14" s="44"/>
      <c r="G14" s="38"/>
      <c r="H14" s="39"/>
    </row>
    <row r="15" spans="1:10" ht="13.8" thickBot="1" x14ac:dyDescent="0.3">
      <c r="A15" s="67"/>
      <c r="B15" s="68" t="s">
        <v>7</v>
      </c>
      <c r="C15" s="69"/>
      <c r="D15" s="70">
        <v>50</v>
      </c>
      <c r="E15" s="71"/>
      <c r="F15" s="333">
        <v>42</v>
      </c>
      <c r="G15" s="77"/>
      <c r="H15" s="82"/>
    </row>
    <row r="16" spans="1:10" ht="13.8" thickBot="1" x14ac:dyDescent="0.3">
      <c r="A16" s="298" t="s">
        <v>118</v>
      </c>
      <c r="B16" s="32"/>
      <c r="C16" s="73"/>
      <c r="D16" s="74"/>
      <c r="E16" s="74"/>
      <c r="F16" s="75"/>
      <c r="G16" s="31"/>
      <c r="H16" s="76"/>
    </row>
    <row r="17" spans="1:10" x14ac:dyDescent="0.25">
      <c r="A17" s="226" t="s">
        <v>91</v>
      </c>
      <c r="B17" s="234" t="s">
        <v>157</v>
      </c>
      <c r="C17" s="347" t="s">
        <v>25</v>
      </c>
      <c r="D17" s="198" t="s">
        <v>11</v>
      </c>
      <c r="E17" s="199"/>
      <c r="F17" s="200"/>
      <c r="G17" s="33"/>
      <c r="H17" s="224" t="s">
        <v>76</v>
      </c>
    </row>
    <row r="18" spans="1:10" x14ac:dyDescent="0.25">
      <c r="A18" s="154" t="s">
        <v>99</v>
      </c>
      <c r="B18" s="148" t="s">
        <v>160</v>
      </c>
      <c r="C18" s="65"/>
      <c r="D18" s="47">
        <f>H22</f>
        <v>22.977899999999998</v>
      </c>
      <c r="E18" s="83"/>
      <c r="F18" s="44"/>
      <c r="G18" s="48" t="s">
        <v>13</v>
      </c>
      <c r="H18" s="87">
        <v>18</v>
      </c>
    </row>
    <row r="19" spans="1:10" ht="13.8" thickBot="1" x14ac:dyDescent="0.3">
      <c r="A19" s="168" t="s">
        <v>88</v>
      </c>
      <c r="B19" s="170" t="s">
        <v>162</v>
      </c>
      <c r="C19" s="65">
        <f>18*50</f>
        <v>900</v>
      </c>
      <c r="D19" s="84"/>
      <c r="E19" s="85"/>
      <c r="F19" s="44"/>
      <c r="G19" s="272">
        <v>5.5E-2</v>
      </c>
      <c r="H19" s="89">
        <f>H18*G19</f>
        <v>0.99</v>
      </c>
      <c r="I19" s="343">
        <v>5.5E-2</v>
      </c>
      <c r="J19" s="154"/>
    </row>
    <row r="20" spans="1:10" ht="13.8" thickBot="1" x14ac:dyDescent="0.3">
      <c r="A20" s="38"/>
      <c r="B20" s="170" t="s">
        <v>196</v>
      </c>
      <c r="C20" s="88"/>
      <c r="D20" s="88"/>
      <c r="E20" s="85"/>
      <c r="F20" s="44"/>
      <c r="G20" s="255" t="s">
        <v>94</v>
      </c>
      <c r="H20" s="257">
        <f>SUM(H18:H19)</f>
        <v>18.989999999999998</v>
      </c>
      <c r="I20" s="54"/>
      <c r="J20" s="154"/>
    </row>
    <row r="21" spans="1:10" ht="15" thickBot="1" x14ac:dyDescent="0.35">
      <c r="A21" s="38"/>
      <c r="B21" s="270"/>
      <c r="C21" s="90">
        <f>SUM(C18:C20)</f>
        <v>900</v>
      </c>
      <c r="D21" s="284">
        <f>SUM(D18:D20)</f>
        <v>22.977899999999998</v>
      </c>
      <c r="E21" s="91"/>
      <c r="F21" s="92">
        <v>977.7</v>
      </c>
      <c r="G21" s="272">
        <v>0.21</v>
      </c>
      <c r="H21" s="254">
        <f>H20*G21</f>
        <v>3.9878999999999993</v>
      </c>
      <c r="I21" s="265">
        <v>21</v>
      </c>
      <c r="J21" s="154"/>
    </row>
    <row r="22" spans="1:10" ht="14.4" thickTop="1" thickBot="1" x14ac:dyDescent="0.3">
      <c r="A22" s="201"/>
      <c r="B22" s="202" t="s">
        <v>61</v>
      </c>
      <c r="C22" s="203"/>
      <c r="D22" s="204">
        <v>23</v>
      </c>
      <c r="E22" s="205"/>
      <c r="F22" s="227">
        <v>20</v>
      </c>
      <c r="G22" s="28"/>
      <c r="H22" s="256">
        <f>SUM(H20:H21)</f>
        <v>22.977899999999998</v>
      </c>
    </row>
    <row r="23" spans="1:10" ht="13.8" thickBot="1" x14ac:dyDescent="0.3">
      <c r="A23" s="33"/>
      <c r="B23" s="31"/>
      <c r="C23" s="247"/>
      <c r="D23" s="73"/>
      <c r="E23" s="73"/>
      <c r="F23" s="73"/>
      <c r="G23" s="31"/>
      <c r="H23" s="76"/>
      <c r="I23" s="154"/>
    </row>
    <row r="24" spans="1:10" x14ac:dyDescent="0.25">
      <c r="A24" s="226" t="s">
        <v>92</v>
      </c>
      <c r="B24" s="197" t="s">
        <v>158</v>
      </c>
      <c r="C24" s="347" t="s">
        <v>25</v>
      </c>
      <c r="D24" s="198" t="s">
        <v>11</v>
      </c>
      <c r="E24" s="199"/>
      <c r="F24" s="200"/>
      <c r="G24" s="33"/>
      <c r="H24" s="224" t="s">
        <v>76</v>
      </c>
    </row>
    <row r="25" spans="1:10" x14ac:dyDescent="0.25">
      <c r="A25" s="168" t="s">
        <v>100</v>
      </c>
      <c r="B25" s="148" t="s">
        <v>161</v>
      </c>
      <c r="C25" s="65"/>
      <c r="D25" s="47">
        <f>H29</f>
        <v>20.424799999999998</v>
      </c>
      <c r="E25" s="83"/>
      <c r="F25" s="44">
        <v>901.68</v>
      </c>
      <c r="G25" s="48" t="s">
        <v>13</v>
      </c>
      <c r="H25" s="87">
        <v>16</v>
      </c>
      <c r="I25" s="154"/>
    </row>
    <row r="26" spans="1:10" ht="13.8" thickBot="1" x14ac:dyDescent="0.3">
      <c r="A26" s="40"/>
      <c r="B26" s="170" t="s">
        <v>197</v>
      </c>
      <c r="C26" s="65">
        <f>50*16</f>
        <v>800</v>
      </c>
      <c r="D26" s="84"/>
      <c r="E26" s="85"/>
      <c r="F26" s="44"/>
      <c r="G26" s="272">
        <v>5.5E-2</v>
      </c>
      <c r="H26" s="89">
        <f>H25*G26</f>
        <v>0.88</v>
      </c>
      <c r="I26" s="186">
        <v>5.5E-2</v>
      </c>
    </row>
    <row r="27" spans="1:10" ht="13.8" thickBot="1" x14ac:dyDescent="0.3">
      <c r="A27" s="38"/>
      <c r="B27" s="148"/>
      <c r="C27" s="88"/>
      <c r="D27" s="88"/>
      <c r="E27" s="85"/>
      <c r="F27" s="44"/>
      <c r="G27" s="255" t="s">
        <v>94</v>
      </c>
      <c r="H27" s="257">
        <f>SUM(H25:H26)</f>
        <v>16.88</v>
      </c>
      <c r="I27" s="186"/>
      <c r="J27" s="154"/>
    </row>
    <row r="28" spans="1:10" ht="15" thickBot="1" x14ac:dyDescent="0.35">
      <c r="A28" s="38"/>
      <c r="B28" s="148" t="s">
        <v>163</v>
      </c>
      <c r="C28" s="90">
        <f>SUM(C26:C27)</f>
        <v>800</v>
      </c>
      <c r="D28" s="284">
        <f>SUM(D25:D27)</f>
        <v>20.424799999999998</v>
      </c>
      <c r="E28" s="91"/>
      <c r="F28" s="92">
        <f>SUM(F25:F27)</f>
        <v>901.68</v>
      </c>
      <c r="G28" s="272">
        <v>0.21</v>
      </c>
      <c r="H28" s="254">
        <f>H27*G28</f>
        <v>3.5447999999999995</v>
      </c>
      <c r="I28" s="265">
        <v>21</v>
      </c>
      <c r="J28" s="154"/>
    </row>
    <row r="29" spans="1:10" ht="14.4" thickTop="1" thickBot="1" x14ac:dyDescent="0.3">
      <c r="A29" s="201"/>
      <c r="B29" s="202" t="s">
        <v>61</v>
      </c>
      <c r="C29" s="203"/>
      <c r="D29" s="204">
        <v>21</v>
      </c>
      <c r="E29" s="205"/>
      <c r="F29" s="227">
        <v>20</v>
      </c>
      <c r="G29" s="28"/>
      <c r="H29" s="256">
        <f>SUM(H27:H28)</f>
        <v>20.424799999999998</v>
      </c>
    </row>
    <row r="30" spans="1:10" ht="13.8" thickBot="1" x14ac:dyDescent="0.3">
      <c r="A30" s="77"/>
      <c r="B30" s="78"/>
      <c r="C30" s="79"/>
      <c r="D30" s="80"/>
      <c r="E30" s="80"/>
      <c r="F30" s="81"/>
      <c r="G30" s="28"/>
      <c r="H30" s="82"/>
    </row>
    <row r="31" spans="1:10" x14ac:dyDescent="0.25">
      <c r="A31" s="226" t="s">
        <v>93</v>
      </c>
      <c r="B31" s="197" t="s">
        <v>159</v>
      </c>
      <c r="C31" s="347" t="s">
        <v>25</v>
      </c>
      <c r="D31" s="198" t="s">
        <v>11</v>
      </c>
      <c r="E31" s="199"/>
      <c r="F31" s="44"/>
      <c r="G31" s="33"/>
      <c r="H31" s="224" t="s">
        <v>76</v>
      </c>
      <c r="I31" s="154"/>
    </row>
    <row r="32" spans="1:10" x14ac:dyDescent="0.25">
      <c r="A32" s="154" t="s">
        <v>144</v>
      </c>
      <c r="B32" s="148" t="s">
        <v>207</v>
      </c>
      <c r="C32" s="65">
        <v>2600</v>
      </c>
      <c r="D32" s="47">
        <f>H36</f>
        <v>33.190300000000001</v>
      </c>
      <c r="E32" s="83"/>
      <c r="F32" s="44">
        <v>131.61000000000001</v>
      </c>
      <c r="G32" s="48" t="s">
        <v>13</v>
      </c>
      <c r="H32" s="87">
        <v>26</v>
      </c>
      <c r="I32" s="20"/>
      <c r="J32" s="154"/>
    </row>
    <row r="33" spans="1:10" ht="13.8" thickBot="1" x14ac:dyDescent="0.3">
      <c r="A33" s="168" t="s">
        <v>98</v>
      </c>
      <c r="B33" s="182" t="s">
        <v>185</v>
      </c>
      <c r="C33" s="65">
        <v>100</v>
      </c>
      <c r="D33" s="84">
        <f>127.66/100</f>
        <v>1.2766</v>
      </c>
      <c r="E33" s="85"/>
      <c r="F33" s="44">
        <v>4045.61</v>
      </c>
      <c r="G33" s="272">
        <v>5.5E-2</v>
      </c>
      <c r="H33" s="89">
        <f>H32*G33</f>
        <v>1.43</v>
      </c>
      <c r="I33" s="154"/>
    </row>
    <row r="34" spans="1:10" ht="13.8" thickBot="1" x14ac:dyDescent="0.3">
      <c r="A34" s="168" t="s">
        <v>89</v>
      </c>
      <c r="B34" s="148" t="s">
        <v>186</v>
      </c>
      <c r="C34" s="88"/>
      <c r="D34" s="88">
        <v>1</v>
      </c>
      <c r="E34" s="85"/>
      <c r="F34" s="44">
        <v>55.61</v>
      </c>
      <c r="G34" s="255" t="s">
        <v>94</v>
      </c>
      <c r="H34" s="257">
        <f>SUM(H32:H33)</f>
        <v>27.43</v>
      </c>
      <c r="J34" s="154"/>
    </row>
    <row r="35" spans="1:10" ht="13.8" thickBot="1" x14ac:dyDescent="0.3">
      <c r="A35" s="38"/>
      <c r="B35" s="46" t="s">
        <v>10</v>
      </c>
      <c r="C35" s="90">
        <f>SUM(C32+C33)</f>
        <v>2700</v>
      </c>
      <c r="D35" s="284">
        <f>SUM(D32:D34)</f>
        <v>35.466900000000003</v>
      </c>
      <c r="E35" s="91"/>
      <c r="F35" s="92">
        <f>SUM(F32:F34)</f>
        <v>4232.83</v>
      </c>
      <c r="G35" s="272">
        <v>0.21</v>
      </c>
      <c r="H35" s="254">
        <f>H34*G35</f>
        <v>5.7603</v>
      </c>
      <c r="I35" s="154"/>
      <c r="J35" s="154"/>
    </row>
    <row r="36" spans="1:10" ht="14.4" thickTop="1" thickBot="1" x14ac:dyDescent="0.3">
      <c r="A36" s="201"/>
      <c r="B36" s="202" t="s">
        <v>61</v>
      </c>
      <c r="C36" s="203"/>
      <c r="D36" s="204">
        <v>38</v>
      </c>
      <c r="E36" s="205"/>
      <c r="F36" s="333">
        <v>38</v>
      </c>
      <c r="G36" s="28"/>
      <c r="H36" s="256">
        <f>SUM(H34:H35)</f>
        <v>33.190300000000001</v>
      </c>
      <c r="I36" s="181" t="s">
        <v>208</v>
      </c>
      <c r="J36" s="154"/>
    </row>
    <row r="37" spans="1:10" x14ac:dyDescent="0.25">
      <c r="A37" s="38"/>
      <c r="C37" s="348">
        <f>C21+C28+C32+C33</f>
        <v>4400</v>
      </c>
      <c r="D37" s="196"/>
      <c r="E37" s="196"/>
      <c r="F37" s="336"/>
    </row>
    <row r="38" spans="1:10" ht="13.8" thickBot="1" x14ac:dyDescent="0.3">
      <c r="A38" s="38"/>
      <c r="C38" s="86"/>
      <c r="F38" s="206"/>
    </row>
    <row r="39" spans="1:10" ht="42.75" customHeight="1" x14ac:dyDescent="0.25">
      <c r="A39" s="259" t="s">
        <v>96</v>
      </c>
      <c r="B39" s="260" t="s">
        <v>209</v>
      </c>
      <c r="C39" s="93"/>
      <c r="D39" s="94"/>
      <c r="E39" s="94"/>
      <c r="F39" s="95"/>
      <c r="G39" s="31"/>
      <c r="H39" s="76"/>
      <c r="I39" s="154"/>
    </row>
    <row r="40" spans="1:10" x14ac:dyDescent="0.25">
      <c r="A40" s="337" t="s">
        <v>145</v>
      </c>
      <c r="B40" s="179" t="s">
        <v>164</v>
      </c>
      <c r="C40" s="65">
        <v>3325</v>
      </c>
      <c r="D40" s="211">
        <f>(3325*5.5%)+3325</f>
        <v>3507.875</v>
      </c>
      <c r="E40" s="97"/>
      <c r="F40" s="98">
        <v>850</v>
      </c>
      <c r="H40" s="223"/>
      <c r="J40" s="154"/>
    </row>
    <row r="41" spans="1:10" x14ac:dyDescent="0.25">
      <c r="A41" s="337" t="s">
        <v>146</v>
      </c>
      <c r="B41" s="63" t="s">
        <v>0</v>
      </c>
      <c r="C41" s="65"/>
      <c r="D41" s="97"/>
      <c r="E41" s="97"/>
      <c r="F41" s="99"/>
      <c r="H41" s="72"/>
      <c r="J41" s="154"/>
    </row>
    <row r="42" spans="1:10" x14ac:dyDescent="0.25">
      <c r="A42" s="337" t="s">
        <v>147</v>
      </c>
      <c r="B42" s="148" t="s">
        <v>156</v>
      </c>
      <c r="C42" s="65"/>
      <c r="D42" s="97"/>
      <c r="E42" s="97"/>
      <c r="F42" s="99"/>
      <c r="H42" s="72"/>
      <c r="J42" s="154"/>
    </row>
    <row r="43" spans="1:10" x14ac:dyDescent="0.25">
      <c r="A43" s="96">
        <v>1</v>
      </c>
      <c r="B43" s="157" t="s">
        <v>167</v>
      </c>
      <c r="C43" s="295">
        <v>100</v>
      </c>
      <c r="D43" s="155"/>
      <c r="E43" s="97"/>
      <c r="F43" s="99">
        <v>100</v>
      </c>
      <c r="H43" s="72"/>
      <c r="J43" s="154"/>
    </row>
    <row r="44" spans="1:10" x14ac:dyDescent="0.25">
      <c r="A44" s="96">
        <v>2</v>
      </c>
      <c r="B44" s="148" t="s">
        <v>155</v>
      </c>
      <c r="C44" s="296">
        <v>150</v>
      </c>
      <c r="D44" s="97"/>
      <c r="E44" s="97"/>
      <c r="F44" s="99">
        <v>100</v>
      </c>
      <c r="G44" s="282" t="s">
        <v>72</v>
      </c>
      <c r="H44" s="72"/>
      <c r="I44" s="244"/>
    </row>
    <row r="45" spans="1:10" x14ac:dyDescent="0.25">
      <c r="A45" s="96">
        <v>3</v>
      </c>
      <c r="B45" s="154" t="s">
        <v>170</v>
      </c>
      <c r="C45" s="295">
        <v>100</v>
      </c>
      <c r="D45" s="97"/>
      <c r="E45" s="100"/>
      <c r="F45" s="99">
        <v>100</v>
      </c>
      <c r="G45" s="283" t="s">
        <v>73</v>
      </c>
      <c r="H45" s="72"/>
    </row>
    <row r="46" spans="1:10" x14ac:dyDescent="0.25">
      <c r="A46" s="96">
        <v>4</v>
      </c>
      <c r="B46" s="157" t="s">
        <v>166</v>
      </c>
      <c r="C46" s="295">
        <v>0</v>
      </c>
      <c r="D46" s="43"/>
      <c r="E46" s="43"/>
      <c r="F46" s="99">
        <v>100</v>
      </c>
      <c r="G46" s="283" t="s">
        <v>74</v>
      </c>
      <c r="H46" s="72"/>
    </row>
    <row r="47" spans="1:10" x14ac:dyDescent="0.25">
      <c r="A47" s="96">
        <v>5</v>
      </c>
      <c r="B47" s="157" t="s">
        <v>168</v>
      </c>
      <c r="C47" s="295">
        <v>100</v>
      </c>
      <c r="D47" s="43"/>
      <c r="E47" s="43"/>
      <c r="F47" s="99">
        <v>100</v>
      </c>
      <c r="H47" s="72"/>
    </row>
    <row r="48" spans="1:10" x14ac:dyDescent="0.25">
      <c r="A48" s="96">
        <v>6</v>
      </c>
      <c r="B48" s="157" t="s">
        <v>171</v>
      </c>
      <c r="C48" s="295">
        <v>100</v>
      </c>
      <c r="D48" s="43"/>
      <c r="E48" s="43"/>
      <c r="F48" s="99">
        <v>100</v>
      </c>
      <c r="G48" s="207"/>
      <c r="H48" s="72"/>
    </row>
    <row r="49" spans="1:9" x14ac:dyDescent="0.25">
      <c r="A49" s="96">
        <v>7</v>
      </c>
      <c r="B49" s="157" t="s">
        <v>165</v>
      </c>
      <c r="C49" s="345">
        <v>100</v>
      </c>
      <c r="D49" s="43"/>
      <c r="E49" s="43"/>
      <c r="F49" s="99">
        <v>100</v>
      </c>
      <c r="G49" s="207"/>
      <c r="H49" s="72"/>
      <c r="I49" s="154"/>
    </row>
    <row r="50" spans="1:9" x14ac:dyDescent="0.25">
      <c r="A50" s="96">
        <v>8</v>
      </c>
      <c r="B50" s="157" t="s">
        <v>168</v>
      </c>
      <c r="C50" s="295">
        <v>100</v>
      </c>
      <c r="D50" s="43"/>
      <c r="E50" s="43"/>
      <c r="F50" s="99">
        <v>100</v>
      </c>
      <c r="G50" s="207"/>
      <c r="H50" s="72"/>
    </row>
    <row r="51" spans="1:9" x14ac:dyDescent="0.25">
      <c r="A51" s="96">
        <v>9</v>
      </c>
      <c r="B51" s="344" t="s">
        <v>141</v>
      </c>
      <c r="C51" s="295"/>
      <c r="D51" s="43"/>
      <c r="E51" s="43"/>
      <c r="F51" s="99">
        <v>100</v>
      </c>
      <c r="G51" s="207"/>
      <c r="H51" s="72"/>
    </row>
    <row r="52" spans="1:9" x14ac:dyDescent="0.25">
      <c r="A52" s="96">
        <v>10</v>
      </c>
      <c r="B52" s="344" t="s">
        <v>141</v>
      </c>
      <c r="C52" s="295" t="s">
        <v>169</v>
      </c>
      <c r="D52" s="43"/>
      <c r="E52" s="43"/>
      <c r="F52" s="99">
        <v>100</v>
      </c>
      <c r="G52" s="207"/>
      <c r="H52" s="72"/>
    </row>
    <row r="53" spans="1:9" x14ac:dyDescent="0.25">
      <c r="A53" s="96">
        <v>11</v>
      </c>
      <c r="B53" s="344" t="s">
        <v>141</v>
      </c>
      <c r="C53" s="295"/>
      <c r="D53" s="43"/>
      <c r="E53" s="43"/>
      <c r="F53" s="99">
        <v>100</v>
      </c>
      <c r="G53" s="207"/>
      <c r="H53" s="72"/>
    </row>
    <row r="54" spans="1:9" x14ac:dyDescent="0.25">
      <c r="A54" s="96">
        <v>12</v>
      </c>
      <c r="B54" s="344" t="s">
        <v>141</v>
      </c>
      <c r="C54" s="315"/>
      <c r="D54" s="62"/>
      <c r="E54" s="62"/>
      <c r="F54" s="99">
        <v>100</v>
      </c>
      <c r="G54" s="207"/>
      <c r="H54" s="72"/>
    </row>
    <row r="55" spans="1:9" x14ac:dyDescent="0.25">
      <c r="A55" s="96">
        <v>13</v>
      </c>
      <c r="B55" s="344" t="s">
        <v>141</v>
      </c>
      <c r="C55" s="315"/>
      <c r="D55" s="62"/>
      <c r="E55" s="62"/>
      <c r="F55" s="99">
        <v>100</v>
      </c>
      <c r="G55" s="207"/>
      <c r="H55" s="72"/>
    </row>
    <row r="56" spans="1:9" x14ac:dyDescent="0.25">
      <c r="A56" s="96"/>
      <c r="B56" s="101" t="s">
        <v>189</v>
      </c>
      <c r="C56" s="295">
        <v>100</v>
      </c>
      <c r="D56" s="167"/>
      <c r="E56" s="167"/>
      <c r="F56" s="252">
        <v>150</v>
      </c>
      <c r="G56" s="222" t="s">
        <v>77</v>
      </c>
      <c r="H56" s="72"/>
    </row>
    <row r="57" spans="1:9" x14ac:dyDescent="0.25">
      <c r="A57" s="96"/>
      <c r="B57" s="101"/>
      <c r="C57" s="316"/>
      <c r="D57" s="167"/>
      <c r="E57" s="317"/>
      <c r="F57" s="252">
        <f>144.13+38</f>
        <v>182.13</v>
      </c>
      <c r="G57" s="222"/>
      <c r="H57" s="72"/>
    </row>
    <row r="58" spans="1:9" x14ac:dyDescent="0.25">
      <c r="A58" s="96"/>
      <c r="B58" s="60" t="s">
        <v>1</v>
      </c>
      <c r="C58" s="297">
        <f>SUM(C43:C57)</f>
        <v>850</v>
      </c>
      <c r="D58" s="280">
        <f>C58</f>
        <v>850</v>
      </c>
      <c r="E58" s="103"/>
      <c r="F58" s="98">
        <f>SUM(F43:F57)</f>
        <v>1632.13</v>
      </c>
      <c r="G58" s="207"/>
      <c r="H58" s="72"/>
    </row>
    <row r="59" spans="1:9" x14ac:dyDescent="0.25">
      <c r="A59" s="96"/>
      <c r="B59" s="60"/>
      <c r="C59" s="65"/>
      <c r="D59" s="43"/>
      <c r="E59" s="43"/>
      <c r="F59" s="99"/>
      <c r="G59" s="207"/>
      <c r="H59" s="72"/>
      <c r="I59" s="154"/>
    </row>
    <row r="60" spans="1:9" x14ac:dyDescent="0.25">
      <c r="A60" s="104" t="s">
        <v>2</v>
      </c>
      <c r="B60" s="285" t="s">
        <v>68</v>
      </c>
      <c r="C60" s="65"/>
      <c r="D60" s="43"/>
      <c r="E60" s="43"/>
      <c r="F60" s="318"/>
      <c r="G60" s="207"/>
      <c r="H60" s="72"/>
      <c r="I60" s="189"/>
    </row>
    <row r="61" spans="1:9" x14ac:dyDescent="0.25">
      <c r="A61" s="187"/>
      <c r="B61" s="63"/>
      <c r="C61" s="65"/>
      <c r="D61" s="43"/>
      <c r="E61" s="43"/>
      <c r="F61" s="60"/>
      <c r="H61" s="72"/>
    </row>
    <row r="62" spans="1:9" x14ac:dyDescent="0.25">
      <c r="A62" s="299" t="s">
        <v>111</v>
      </c>
      <c r="B62" s="285" t="s">
        <v>113</v>
      </c>
      <c r="C62" s="106" t="s">
        <v>19</v>
      </c>
      <c r="D62" s="107" t="s">
        <v>20</v>
      </c>
      <c r="E62" s="107"/>
      <c r="F62" s="60"/>
      <c r="H62" s="72"/>
    </row>
    <row r="63" spans="1:9" hidden="1" x14ac:dyDescent="0.25">
      <c r="A63" s="169"/>
      <c r="B63" s="286" t="s">
        <v>36</v>
      </c>
      <c r="C63" s="65"/>
      <c r="D63" s="108">
        <f>(C63*3)*0.8</f>
        <v>0</v>
      </c>
      <c r="E63" s="108"/>
      <c r="F63" s="60"/>
      <c r="H63" s="72"/>
    </row>
    <row r="64" spans="1:9" hidden="1" x14ac:dyDescent="0.25">
      <c r="A64" s="105"/>
      <c r="B64" s="286" t="s">
        <v>47</v>
      </c>
      <c r="C64" s="65"/>
      <c r="D64" s="108">
        <f>C64*2</f>
        <v>0</v>
      </c>
      <c r="E64" s="108"/>
      <c r="F64" s="60"/>
      <c r="H64" s="72"/>
    </row>
    <row r="65" spans="1:12" ht="13.8" hidden="1" thickBot="1" x14ac:dyDescent="0.3">
      <c r="A65" s="105"/>
      <c r="B65" s="286" t="s">
        <v>60</v>
      </c>
      <c r="C65" s="61"/>
      <c r="D65" s="110">
        <f>C65*7</f>
        <v>0</v>
      </c>
      <c r="E65" s="111"/>
      <c r="F65" s="60"/>
      <c r="H65" s="183"/>
    </row>
    <row r="66" spans="1:12" hidden="1" x14ac:dyDescent="0.25">
      <c r="A66" s="105"/>
      <c r="B66" s="286" t="s">
        <v>6</v>
      </c>
      <c r="C66" s="102"/>
      <c r="D66" s="112">
        <f>SUM(D63:D65)</f>
        <v>0</v>
      </c>
      <c r="E66" s="113"/>
      <c r="F66" s="60"/>
      <c r="H66" s="183"/>
    </row>
    <row r="67" spans="1:12" hidden="1" x14ac:dyDescent="0.25">
      <c r="A67" s="109"/>
      <c r="B67" s="286"/>
      <c r="C67" s="65"/>
      <c r="D67" s="47"/>
      <c r="E67" s="47"/>
      <c r="F67" s="114"/>
      <c r="H67" s="159"/>
    </row>
    <row r="68" spans="1:12" hidden="1" x14ac:dyDescent="0.25">
      <c r="A68" s="109"/>
      <c r="B68" s="286"/>
      <c r="C68" s="65"/>
      <c r="D68" s="47"/>
      <c r="E68" s="47"/>
      <c r="F68" s="60"/>
      <c r="H68" s="159"/>
    </row>
    <row r="69" spans="1:12" x14ac:dyDescent="0.25">
      <c r="A69" s="109"/>
      <c r="B69" s="285" t="s">
        <v>114</v>
      </c>
      <c r="C69" s="65"/>
      <c r="D69" s="47"/>
      <c r="E69" s="47"/>
      <c r="F69" s="60"/>
      <c r="H69" s="72"/>
    </row>
    <row r="70" spans="1:12" hidden="1" x14ac:dyDescent="0.25">
      <c r="A70" s="115"/>
      <c r="B70" s="148" t="s">
        <v>55</v>
      </c>
      <c r="C70" s="65"/>
      <c r="D70" s="184">
        <f>C70*3</f>
        <v>0</v>
      </c>
      <c r="E70" s="47"/>
      <c r="F70" s="60"/>
      <c r="H70" s="72"/>
    </row>
    <row r="71" spans="1:12" hidden="1" x14ac:dyDescent="0.25">
      <c r="A71" s="109"/>
      <c r="B71" s="148" t="s">
        <v>44</v>
      </c>
      <c r="C71" s="65"/>
      <c r="D71" s="47">
        <f>C71*2</f>
        <v>0</v>
      </c>
      <c r="E71" s="47"/>
      <c r="F71" s="60"/>
      <c r="H71" s="72"/>
    </row>
    <row r="72" spans="1:12" hidden="1" x14ac:dyDescent="0.25">
      <c r="A72" s="116"/>
      <c r="B72" s="148" t="s">
        <v>60</v>
      </c>
      <c r="C72" s="114"/>
      <c r="D72" s="84">
        <f>C72*8</f>
        <v>0</v>
      </c>
      <c r="E72" s="84"/>
      <c r="F72" s="60"/>
      <c r="H72" s="183"/>
    </row>
    <row r="73" spans="1:12" hidden="1" x14ac:dyDescent="0.25">
      <c r="A73" s="116"/>
      <c r="B73" s="148" t="s">
        <v>71</v>
      </c>
      <c r="C73" s="117"/>
      <c r="D73" s="118">
        <f>SUM(D70:D72)</f>
        <v>0</v>
      </c>
      <c r="E73" s="47"/>
      <c r="F73" s="60"/>
      <c r="H73" s="183"/>
      <c r="J73" s="185"/>
    </row>
    <row r="74" spans="1:12" hidden="1" x14ac:dyDescent="0.25">
      <c r="A74" s="116"/>
      <c r="B74" s="60" t="s">
        <v>12</v>
      </c>
      <c r="C74" s="119"/>
      <c r="D74" s="120">
        <f>D66+D73</f>
        <v>0</v>
      </c>
      <c r="E74" s="121"/>
      <c r="F74" s="114"/>
      <c r="H74" s="72"/>
      <c r="J74" s="154"/>
    </row>
    <row r="75" spans="1:12" hidden="1" x14ac:dyDescent="0.25">
      <c r="A75" s="116"/>
      <c r="B75" s="162" t="s">
        <v>90</v>
      </c>
      <c r="C75" s="163">
        <v>0.22</v>
      </c>
      <c r="D75" s="53">
        <f>D74*C75</f>
        <v>0</v>
      </c>
      <c r="E75" s="122"/>
      <c r="F75" s="60"/>
      <c r="H75" s="72"/>
      <c r="J75" s="154"/>
      <c r="K75" s="244"/>
      <c r="L75" s="154"/>
    </row>
    <row r="76" spans="1:12" hidden="1" x14ac:dyDescent="0.25">
      <c r="A76" s="116"/>
      <c r="B76" s="275" t="s">
        <v>94</v>
      </c>
      <c r="C76" s="274"/>
      <c r="D76" s="273">
        <f>SUM(D74:D75)</f>
        <v>0</v>
      </c>
      <c r="E76" s="122"/>
      <c r="F76" s="60"/>
      <c r="H76" s="72"/>
      <c r="J76" s="154"/>
      <c r="K76" s="244"/>
      <c r="L76" s="154"/>
    </row>
    <row r="77" spans="1:12" ht="13.8" hidden="1" thickBot="1" x14ac:dyDescent="0.3">
      <c r="A77" s="116"/>
      <c r="B77" s="162" t="s">
        <v>108</v>
      </c>
      <c r="C77" s="248">
        <v>7.8799999999999995E-2</v>
      </c>
      <c r="D77" s="123">
        <f>D76*C77</f>
        <v>0</v>
      </c>
      <c r="E77" s="122"/>
      <c r="F77" s="60"/>
      <c r="H77" s="72"/>
    </row>
    <row r="78" spans="1:12" ht="0.75" customHeight="1" x14ac:dyDescent="0.25">
      <c r="A78" s="116"/>
      <c r="B78" s="60"/>
      <c r="C78" s="124" t="s">
        <v>1</v>
      </c>
      <c r="D78" s="125">
        <f>SUM(D76:D77)</f>
        <v>0</v>
      </c>
      <c r="E78" s="126"/>
      <c r="F78" s="98">
        <f>F67+F74</f>
        <v>0</v>
      </c>
      <c r="H78" s="72"/>
      <c r="J78" s="154"/>
      <c r="K78" s="244"/>
      <c r="L78" s="154"/>
    </row>
    <row r="79" spans="1:12" x14ac:dyDescent="0.25">
      <c r="A79" s="116"/>
      <c r="B79" s="127"/>
      <c r="C79" s="128"/>
      <c r="D79" s="129"/>
      <c r="E79" s="129"/>
      <c r="F79" s="60"/>
      <c r="H79" s="72"/>
      <c r="J79" s="154"/>
      <c r="K79" s="244"/>
      <c r="L79" s="154"/>
    </row>
    <row r="80" spans="1:12" x14ac:dyDescent="0.25">
      <c r="A80" s="116"/>
      <c r="B80" s="179" t="s">
        <v>86</v>
      </c>
      <c r="D80" s="140">
        <f>D81+D82+D83</f>
        <v>570</v>
      </c>
      <c r="E80" s="43"/>
      <c r="F80" s="160">
        <f>F81+F82+F83</f>
        <v>565.29</v>
      </c>
      <c r="H80" s="72"/>
      <c r="J80" s="154"/>
    </row>
    <row r="81" spans="1:13" x14ac:dyDescent="0.25">
      <c r="A81" s="116"/>
      <c r="B81" s="170" t="s">
        <v>66</v>
      </c>
      <c r="C81" s="128"/>
      <c r="D81" s="244">
        <v>425</v>
      </c>
      <c r="E81" s="47"/>
      <c r="F81" s="210">
        <v>427.27</v>
      </c>
      <c r="H81" s="72"/>
      <c r="J81" s="154"/>
      <c r="K81" s="244"/>
      <c r="L81" s="245"/>
    </row>
    <row r="82" spans="1:13" x14ac:dyDescent="0.25">
      <c r="A82" s="116"/>
      <c r="B82" s="170" t="s">
        <v>65</v>
      </c>
      <c r="C82" s="65"/>
      <c r="D82" s="84">
        <v>120</v>
      </c>
      <c r="E82" s="43"/>
      <c r="F82" s="60">
        <v>117.97</v>
      </c>
      <c r="H82" s="72"/>
      <c r="I82" s="269"/>
      <c r="K82" s="244"/>
    </row>
    <row r="83" spans="1:13" x14ac:dyDescent="0.25">
      <c r="A83" s="116"/>
      <c r="B83" s="170" t="s">
        <v>127</v>
      </c>
      <c r="C83" s="180"/>
      <c r="D83" s="171">
        <v>25</v>
      </c>
      <c r="E83" s="47"/>
      <c r="F83" s="276">
        <v>20.05</v>
      </c>
      <c r="H83" s="72"/>
      <c r="J83" s="154"/>
    </row>
    <row r="84" spans="1:13" x14ac:dyDescent="0.25">
      <c r="A84" s="38"/>
      <c r="B84" s="179" t="s">
        <v>112</v>
      </c>
      <c r="C84" s="180"/>
      <c r="D84" s="140">
        <v>0</v>
      </c>
      <c r="E84" s="47"/>
      <c r="F84" s="98">
        <v>0</v>
      </c>
      <c r="H84" s="72"/>
      <c r="J84" s="266"/>
      <c r="L84" s="154"/>
    </row>
    <row r="85" spans="1:13" x14ac:dyDescent="0.25">
      <c r="A85" s="38"/>
      <c r="B85" s="170" t="s">
        <v>102</v>
      </c>
      <c r="C85" s="180"/>
      <c r="D85" s="47"/>
      <c r="E85" s="47"/>
      <c r="F85" s="60"/>
      <c r="H85" s="72"/>
      <c r="J85" s="154"/>
      <c r="L85" s="154"/>
    </row>
    <row r="86" spans="1:13" x14ac:dyDescent="0.25">
      <c r="A86" s="38"/>
      <c r="B86" s="170" t="s">
        <v>101</v>
      </c>
      <c r="C86" s="180"/>
      <c r="D86" s="271"/>
      <c r="E86" s="47"/>
      <c r="F86" s="276"/>
      <c r="H86" s="72"/>
      <c r="J86" s="267"/>
    </row>
    <row r="87" spans="1:13" x14ac:dyDescent="0.25">
      <c r="A87" s="38"/>
      <c r="B87" s="170" t="s">
        <v>105</v>
      </c>
      <c r="C87" s="180"/>
      <c r="D87" s="271"/>
      <c r="E87" s="47"/>
      <c r="F87" s="60"/>
      <c r="H87" s="72"/>
      <c r="J87" s="154"/>
      <c r="L87" s="154"/>
    </row>
    <row r="88" spans="1:13" x14ac:dyDescent="0.25">
      <c r="A88" s="38"/>
      <c r="B88" s="208" t="s">
        <v>67</v>
      </c>
      <c r="C88" s="65"/>
      <c r="D88" s="140">
        <v>0</v>
      </c>
      <c r="E88" s="47"/>
      <c r="F88" s="98">
        <v>0</v>
      </c>
      <c r="H88" s="72"/>
      <c r="I88" s="154"/>
      <c r="K88" s="232"/>
      <c r="M88" s="154"/>
    </row>
    <row r="89" spans="1:13" x14ac:dyDescent="0.25">
      <c r="A89" s="38"/>
      <c r="B89" s="233"/>
      <c r="C89" s="65"/>
      <c r="D89" s="171"/>
      <c r="E89" s="47"/>
      <c r="F89" s="139"/>
      <c r="H89" s="72"/>
      <c r="I89" s="181"/>
      <c r="J89" s="154"/>
      <c r="K89" s="246"/>
      <c r="M89" s="154"/>
    </row>
    <row r="90" spans="1:13" x14ac:dyDescent="0.25">
      <c r="A90" s="38"/>
      <c r="B90" s="179" t="s">
        <v>62</v>
      </c>
      <c r="C90" s="65"/>
      <c r="D90" s="171"/>
      <c r="E90" s="47"/>
      <c r="F90" s="60"/>
      <c r="H90" s="72"/>
      <c r="I90" s="154"/>
      <c r="J90" s="45"/>
    </row>
    <row r="91" spans="1:13" x14ac:dyDescent="0.25">
      <c r="A91" s="38"/>
      <c r="B91" s="170" t="s">
        <v>43</v>
      </c>
      <c r="C91" s="128"/>
      <c r="D91" s="140">
        <v>0</v>
      </c>
      <c r="E91" s="47"/>
      <c r="F91" s="160">
        <v>0</v>
      </c>
      <c r="H91" s="72"/>
      <c r="I91" s="154"/>
      <c r="J91" s="45"/>
    </row>
    <row r="92" spans="1:13" x14ac:dyDescent="0.25">
      <c r="A92" s="38"/>
      <c r="B92" s="179" t="s">
        <v>63</v>
      </c>
      <c r="C92" s="65"/>
      <c r="D92" s="47"/>
      <c r="E92" s="47"/>
      <c r="F92" s="60"/>
      <c r="H92" s="72"/>
      <c r="I92" s="185"/>
    </row>
    <row r="93" spans="1:13" x14ac:dyDescent="0.25">
      <c r="A93" s="38"/>
      <c r="B93" s="209" t="s">
        <v>64</v>
      </c>
      <c r="C93" s="65"/>
      <c r="D93" s="140">
        <v>50</v>
      </c>
      <c r="E93" s="47"/>
      <c r="F93" s="195">
        <v>47.46</v>
      </c>
      <c r="H93" s="72"/>
    </row>
    <row r="94" spans="1:13" x14ac:dyDescent="0.25">
      <c r="A94" s="38"/>
      <c r="B94" s="346"/>
      <c r="C94" s="65"/>
      <c r="D94" s="341"/>
      <c r="E94" s="57"/>
      <c r="F94" s="160">
        <v>205.3</v>
      </c>
      <c r="G94" s="154" t="s">
        <v>135</v>
      </c>
      <c r="H94" s="72"/>
      <c r="I94" s="154" t="s">
        <v>109</v>
      </c>
      <c r="J94" s="45"/>
    </row>
    <row r="95" spans="1:13" ht="13.8" thickBot="1" x14ac:dyDescent="0.3">
      <c r="A95" s="38"/>
      <c r="B95" s="182"/>
      <c r="C95" s="65"/>
      <c r="D95" s="281"/>
      <c r="E95" s="277"/>
      <c r="F95" s="60"/>
      <c r="H95" s="72"/>
      <c r="I95" s="154" t="s">
        <v>126</v>
      </c>
      <c r="J95" s="45"/>
    </row>
    <row r="96" spans="1:13" x14ac:dyDescent="0.25">
      <c r="A96" s="38"/>
      <c r="B96" s="179" t="s">
        <v>70</v>
      </c>
      <c r="C96" s="65"/>
      <c r="D96" s="125">
        <f>D40+D58+D78+D80+D83+D87+D89+D90+D93+D94</f>
        <v>5002.875</v>
      </c>
      <c r="E96" s="126"/>
      <c r="F96" s="98">
        <f>F40+F58+F78+F80+F84+F88+F91+F93+F94</f>
        <v>3300.1800000000003</v>
      </c>
      <c r="H96" s="72"/>
      <c r="I96" s="132"/>
    </row>
    <row r="97" spans="1:9" x14ac:dyDescent="0.25">
      <c r="A97" s="38"/>
      <c r="B97" s="179"/>
      <c r="C97" s="102"/>
      <c r="D97" s="279"/>
      <c r="E97" s="126"/>
      <c r="F97" s="139"/>
      <c r="H97" s="72"/>
      <c r="I97" s="132"/>
    </row>
    <row r="98" spans="1:9" ht="15.75" customHeight="1" x14ac:dyDescent="0.25">
      <c r="A98" s="38"/>
      <c r="B98" s="148" t="s">
        <v>137</v>
      </c>
      <c r="C98" s="253"/>
      <c r="D98" s="130"/>
      <c r="E98" s="131"/>
      <c r="F98" s="334">
        <f>195+6+1.21</f>
        <v>202.21</v>
      </c>
      <c r="H98" s="72"/>
    </row>
    <row r="99" spans="1:9" x14ac:dyDescent="0.25">
      <c r="A99" s="38"/>
      <c r="B99" s="250" t="s">
        <v>210</v>
      </c>
      <c r="C99" s="368">
        <v>28</v>
      </c>
      <c r="D99" s="145">
        <f>15*C99</f>
        <v>420</v>
      </c>
      <c r="E99" s="251"/>
      <c r="F99" s="334">
        <f>12*20</f>
        <v>240</v>
      </c>
      <c r="G99" s="154" t="s">
        <v>138</v>
      </c>
      <c r="H99" s="72"/>
    </row>
    <row r="100" spans="1:9" ht="14.25" customHeight="1" x14ac:dyDescent="0.25">
      <c r="A100" s="38"/>
      <c r="B100" s="144" t="s">
        <v>103</v>
      </c>
      <c r="D100" s="145">
        <f>D96/100</f>
        <v>50.028750000000002</v>
      </c>
      <c r="E100" s="145"/>
      <c r="F100" s="334">
        <f>121*40</f>
        <v>4840</v>
      </c>
      <c r="G100" s="154" t="s">
        <v>136</v>
      </c>
      <c r="H100" s="72"/>
    </row>
    <row r="101" spans="1:9" ht="13.8" thickBot="1" x14ac:dyDescent="0.3">
      <c r="A101" s="146"/>
      <c r="B101" s="133"/>
      <c r="C101" s="134"/>
      <c r="D101" s="135">
        <v>50</v>
      </c>
      <c r="E101" s="136"/>
      <c r="F101" s="137">
        <v>40</v>
      </c>
      <c r="G101" s="212" t="s">
        <v>3</v>
      </c>
      <c r="H101" s="82"/>
    </row>
    <row r="102" spans="1:9" x14ac:dyDescent="0.25">
      <c r="A102" s="214"/>
      <c r="B102" s="216"/>
      <c r="C102" s="214"/>
      <c r="D102" s="213"/>
      <c r="E102" s="217"/>
      <c r="F102" s="218"/>
      <c r="G102" s="219"/>
      <c r="H102" s="214"/>
    </row>
    <row r="103" spans="1:9" ht="15" customHeight="1" x14ac:dyDescent="0.25">
      <c r="A103" s="215"/>
      <c r="B103" s="220" t="s">
        <v>117</v>
      </c>
      <c r="F103" s="249" t="s">
        <v>180</v>
      </c>
    </row>
    <row r="104" spans="1:9" ht="14.25" customHeight="1" x14ac:dyDescent="0.25">
      <c r="A104" s="142"/>
      <c r="B104" s="221" t="s">
        <v>30</v>
      </c>
      <c r="F104" s="181">
        <v>121</v>
      </c>
      <c r="G104" s="154" t="s">
        <v>182</v>
      </c>
    </row>
    <row r="105" spans="1:9" x14ac:dyDescent="0.25">
      <c r="A105" s="143"/>
      <c r="B105" s="221" t="s">
        <v>31</v>
      </c>
      <c r="F105" s="181">
        <v>12</v>
      </c>
      <c r="G105" s="20" t="s">
        <v>181</v>
      </c>
    </row>
    <row r="106" spans="1:9" x14ac:dyDescent="0.25">
      <c r="A106" s="147"/>
      <c r="B106" s="221" t="s">
        <v>32</v>
      </c>
      <c r="D106" s="181" t="s">
        <v>183</v>
      </c>
    </row>
  </sheetData>
  <phoneticPr fontId="2" type="noConversion"/>
  <pageMargins left="0.53" right="0.4" top="0.5" bottom="0.5" header="0.5" footer="0.5"/>
  <pageSetup scale="7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4"/>
  <sheetViews>
    <sheetView workbookViewId="0">
      <selection activeCell="F7" sqref="F7"/>
    </sheetView>
  </sheetViews>
  <sheetFormatPr defaultRowHeight="13.2" x14ac:dyDescent="0.25"/>
  <cols>
    <col min="1" max="1" width="15" bestFit="1" customWidth="1"/>
    <col min="2" max="2" width="11.6640625" customWidth="1"/>
    <col min="3" max="9" width="9.109375" customWidth="1"/>
    <col min="10" max="11" width="9.109375" style="8" customWidth="1"/>
    <col min="12" max="12" width="9.109375" customWidth="1"/>
  </cols>
  <sheetData>
    <row r="1" spans="1:18" x14ac:dyDescent="0.25">
      <c r="B1" s="2">
        <v>2022</v>
      </c>
      <c r="C1" s="2">
        <v>2023</v>
      </c>
      <c r="D1" s="2">
        <v>2024</v>
      </c>
      <c r="E1" s="2">
        <v>2025</v>
      </c>
      <c r="F1" s="2"/>
      <c r="G1" s="2"/>
      <c r="H1" s="2"/>
      <c r="I1" s="2"/>
      <c r="J1" s="2"/>
      <c r="K1" s="2"/>
      <c r="L1" s="2"/>
      <c r="M1" s="2"/>
      <c r="O1" s="2"/>
      <c r="P1" s="2"/>
      <c r="Q1" s="2"/>
    </row>
    <row r="2" spans="1:18" x14ac:dyDescent="0.25">
      <c r="A2" s="1" t="s">
        <v>3</v>
      </c>
      <c r="B2" s="173">
        <v>30</v>
      </c>
      <c r="C2" s="22">
        <v>40</v>
      </c>
      <c r="D2" s="173">
        <v>40</v>
      </c>
      <c r="E2" s="22">
        <v>51</v>
      </c>
      <c r="F2" s="22" t="s">
        <v>200</v>
      </c>
      <c r="G2" s="9"/>
      <c r="H2" s="9"/>
      <c r="I2" s="11"/>
      <c r="J2" s="11"/>
      <c r="K2" s="11"/>
      <c r="L2" s="11"/>
      <c r="M2" s="10"/>
      <c r="N2" s="9"/>
      <c r="O2" s="19"/>
      <c r="P2" s="3"/>
      <c r="Q2" s="3"/>
      <c r="R2" s="3"/>
    </row>
    <row r="3" spans="1:18" x14ac:dyDescent="0.25">
      <c r="A3" s="1" t="s">
        <v>5</v>
      </c>
      <c r="B3" s="173">
        <v>29</v>
      </c>
      <c r="C3" s="22">
        <v>22</v>
      </c>
      <c r="D3" s="173">
        <v>42</v>
      </c>
      <c r="E3" s="22">
        <v>50</v>
      </c>
      <c r="F3" s="9"/>
      <c r="G3" s="9"/>
      <c r="H3" s="9"/>
      <c r="I3" s="11"/>
      <c r="J3" s="11"/>
      <c r="K3" s="11"/>
      <c r="L3" s="11"/>
      <c r="M3" s="10"/>
      <c r="N3" s="1"/>
      <c r="O3" s="3"/>
      <c r="P3" s="3"/>
      <c r="Q3" s="3"/>
      <c r="R3" s="3"/>
    </row>
    <row r="4" spans="1:18" x14ac:dyDescent="0.25">
      <c r="A4" s="1" t="s">
        <v>4</v>
      </c>
      <c r="B4" s="173">
        <v>32</v>
      </c>
      <c r="C4" s="22">
        <v>36</v>
      </c>
      <c r="D4" s="173">
        <v>38</v>
      </c>
      <c r="E4" s="22">
        <v>36</v>
      </c>
      <c r="F4" s="9"/>
      <c r="G4" s="9"/>
      <c r="H4" s="9"/>
      <c r="I4" s="11"/>
      <c r="J4" s="11"/>
      <c r="K4" s="11"/>
      <c r="L4" s="11"/>
      <c r="M4" s="10"/>
      <c r="N4" s="3"/>
      <c r="O4" s="3"/>
      <c r="P4" s="3"/>
      <c r="Q4" s="3"/>
      <c r="R4" s="3"/>
    </row>
    <row r="5" spans="1:18" x14ac:dyDescent="0.25">
      <c r="A5" s="1" t="s">
        <v>81</v>
      </c>
      <c r="B5" s="173">
        <v>15</v>
      </c>
      <c r="C5" s="22">
        <v>20</v>
      </c>
      <c r="D5" s="173">
        <v>0</v>
      </c>
      <c r="E5" s="22">
        <v>23</v>
      </c>
      <c r="F5" s="9"/>
      <c r="G5" s="9"/>
      <c r="H5" s="9"/>
      <c r="I5" s="11"/>
      <c r="J5" s="11"/>
      <c r="K5" s="11"/>
      <c r="L5" s="11"/>
      <c r="M5" s="10"/>
      <c r="N5" s="3"/>
      <c r="O5" s="3"/>
      <c r="P5" s="3"/>
      <c r="Q5" s="3"/>
      <c r="R5" s="3"/>
    </row>
    <row r="6" spans="1:18" ht="13.8" thickBot="1" x14ac:dyDescent="0.3">
      <c r="A6" s="1" t="s">
        <v>81</v>
      </c>
      <c r="B6" s="229"/>
      <c r="C6" s="263">
        <v>18.5</v>
      </c>
      <c r="D6" s="229">
        <v>0</v>
      </c>
      <c r="E6" s="263">
        <v>21</v>
      </c>
      <c r="F6" s="9"/>
      <c r="G6" s="9"/>
      <c r="H6" s="9"/>
      <c r="I6" s="11"/>
      <c r="J6" s="11"/>
      <c r="K6" s="11"/>
      <c r="L6" s="11"/>
      <c r="M6" s="10"/>
      <c r="N6" s="3"/>
      <c r="O6" s="3"/>
      <c r="P6" s="3"/>
      <c r="Q6" s="3"/>
      <c r="R6" s="3"/>
    </row>
    <row r="7" spans="1:18" x14ac:dyDescent="0.25">
      <c r="B7" s="230">
        <f>SUM(B2:B6)</f>
        <v>106</v>
      </c>
      <c r="C7" s="22">
        <f>SUM(C2:C6)</f>
        <v>136.5</v>
      </c>
      <c r="D7" s="3">
        <f>SUM(D2:D6)</f>
        <v>120</v>
      </c>
      <c r="E7" s="3">
        <f>SUM(E2:E6)</f>
        <v>181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9" spans="1:18" x14ac:dyDescent="0.25">
      <c r="I9" s="11"/>
      <c r="J9" s="2"/>
      <c r="K9"/>
    </row>
    <row r="10" spans="1:18" x14ac:dyDescent="0.25">
      <c r="A10" s="1"/>
      <c r="B10" s="1"/>
      <c r="C10" s="1"/>
      <c r="D10" s="1"/>
      <c r="E10" s="1"/>
      <c r="F10" s="1"/>
      <c r="G10" s="1"/>
      <c r="I10" s="11"/>
    </row>
    <row r="11" spans="1:18" x14ac:dyDescent="0.25">
      <c r="A11" s="1"/>
      <c r="B11" s="1"/>
      <c r="C11" s="1"/>
      <c r="D11" s="1"/>
      <c r="E11" s="1"/>
      <c r="F11" s="1"/>
      <c r="G11" s="1"/>
      <c r="I11" s="11"/>
    </row>
    <row r="12" spans="1:18" x14ac:dyDescent="0.25">
      <c r="A12" s="1"/>
      <c r="B12" s="1"/>
      <c r="C12" s="1"/>
      <c r="D12" s="1"/>
      <c r="E12" s="1"/>
      <c r="F12" s="1"/>
      <c r="G12" s="1"/>
      <c r="I12" s="11"/>
    </row>
    <row r="13" spans="1:18" x14ac:dyDescent="0.25">
      <c r="A13" s="1"/>
      <c r="B13" s="1"/>
      <c r="C13" s="1"/>
      <c r="D13" s="1"/>
      <c r="E13" s="1"/>
      <c r="F13" s="1"/>
      <c r="G13" s="1"/>
      <c r="I13" s="11"/>
    </row>
    <row r="14" spans="1:18" x14ac:dyDescent="0.25">
      <c r="A14" s="1"/>
      <c r="B14" s="1"/>
      <c r="C14" s="1"/>
      <c r="D14" s="1"/>
      <c r="E14" s="1"/>
      <c r="F14" s="1"/>
      <c r="G14" s="1"/>
      <c r="I14" s="11"/>
    </row>
    <row r="74" spans="6:6" x14ac:dyDescent="0.25">
      <c r="F74" s="20" t="s">
        <v>120</v>
      </c>
    </row>
  </sheetData>
  <phoneticPr fontId="2" type="noConversion"/>
  <pageMargins left="0.75" right="0.75" top="1" bottom="1" header="0.5" footer="0.5"/>
  <pageSetup orientation="portrait" r:id="rId1"/>
  <headerFooter alignWithMargins="0"/>
  <ignoredErrors>
    <ignoredError sqref="C7 E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workbookViewId="0">
      <selection activeCell="F2" sqref="F2"/>
    </sheetView>
  </sheetViews>
  <sheetFormatPr defaultRowHeight="13.2" x14ac:dyDescent="0.25"/>
  <cols>
    <col min="1" max="1" width="27.5546875" bestFit="1" customWidth="1"/>
    <col min="2" max="2" width="11.33203125" bestFit="1" customWidth="1"/>
    <col min="3" max="3" width="9.6640625" customWidth="1"/>
    <col min="5" max="5" width="9.6640625" bestFit="1" customWidth="1"/>
    <col min="6" max="6" width="16" customWidth="1"/>
    <col min="7" max="7" width="10.33203125" bestFit="1" customWidth="1"/>
    <col min="8" max="9" width="9.109375" customWidth="1"/>
  </cols>
  <sheetData>
    <row r="1" spans="1:11" x14ac:dyDescent="0.25">
      <c r="A1" s="319" t="s">
        <v>129</v>
      </c>
      <c r="B1" s="2" t="s">
        <v>27</v>
      </c>
      <c r="C1" s="2" t="s">
        <v>199</v>
      </c>
      <c r="D1" s="2" t="s">
        <v>128</v>
      </c>
      <c r="E1" s="239" t="s">
        <v>84</v>
      </c>
      <c r="G1" s="2"/>
    </row>
    <row r="2" spans="1:11" x14ac:dyDescent="0.25">
      <c r="A2" s="1" t="s">
        <v>198</v>
      </c>
      <c r="B2" s="17">
        <v>1500</v>
      </c>
      <c r="C2" s="15"/>
      <c r="D2" s="177">
        <v>91</v>
      </c>
      <c r="E2" s="240">
        <v>1530</v>
      </c>
    </row>
    <row r="3" spans="1:11" x14ac:dyDescent="0.25">
      <c r="A3" s="237" t="s">
        <v>191</v>
      </c>
      <c r="B3" s="261">
        <v>15</v>
      </c>
      <c r="C3" s="15"/>
      <c r="D3" s="177"/>
      <c r="E3" s="261"/>
    </row>
    <row r="4" spans="1:11" x14ac:dyDescent="0.25">
      <c r="A4" s="20" t="s">
        <v>190</v>
      </c>
      <c r="B4" s="15">
        <v>12</v>
      </c>
      <c r="C4" s="15">
        <v>600</v>
      </c>
      <c r="D4" s="177">
        <v>91</v>
      </c>
      <c r="E4" s="261">
        <f>B4*D4</f>
        <v>1092</v>
      </c>
      <c r="F4">
        <f>89*12</f>
        <v>1068</v>
      </c>
    </row>
    <row r="5" spans="1:11" x14ac:dyDescent="0.25">
      <c r="A5" s="1" t="s">
        <v>193</v>
      </c>
      <c r="B5" s="15">
        <v>0</v>
      </c>
      <c r="C5" s="15"/>
      <c r="D5" s="8"/>
      <c r="E5" s="261"/>
    </row>
    <row r="6" spans="1:11" ht="13.8" thickBot="1" x14ac:dyDescent="0.3">
      <c r="A6" s="1" t="s">
        <v>192</v>
      </c>
      <c r="B6" s="16">
        <v>1</v>
      </c>
      <c r="C6" s="15"/>
      <c r="D6" s="8"/>
      <c r="E6" s="262">
        <v>100</v>
      </c>
    </row>
    <row r="7" spans="1:11" x14ac:dyDescent="0.25">
      <c r="A7" s="1" t="s">
        <v>14</v>
      </c>
      <c r="B7" s="230">
        <f>SUM(B3:B6)</f>
        <v>28</v>
      </c>
      <c r="C7" s="17"/>
      <c r="D7" s="8"/>
      <c r="E7" s="264">
        <f>SUM(E2:E6)</f>
        <v>2722</v>
      </c>
      <c r="G7" s="366"/>
    </row>
    <row r="8" spans="1:11" x14ac:dyDescent="0.25">
      <c r="B8" s="15"/>
      <c r="D8" s="8"/>
      <c r="E8" s="261"/>
    </row>
    <row r="9" spans="1:11" x14ac:dyDescent="0.25">
      <c r="A9" s="1" t="s">
        <v>34</v>
      </c>
      <c r="B9" s="20"/>
      <c r="C9" s="1" t="s">
        <v>131</v>
      </c>
      <c r="D9" s="8"/>
      <c r="E9" s="261"/>
    </row>
    <row r="10" spans="1:11" x14ac:dyDescent="0.25">
      <c r="A10" s="20" t="s">
        <v>194</v>
      </c>
      <c r="B10" s="166">
        <v>20</v>
      </c>
      <c r="C10" s="22"/>
      <c r="D10" s="8"/>
      <c r="E10" s="261"/>
    </row>
    <row r="11" spans="1:11" ht="13.8" thickBot="1" x14ac:dyDescent="0.3">
      <c r="A11" s="20" t="s">
        <v>35</v>
      </c>
      <c r="B11" s="174">
        <f>B10*5.5%</f>
        <v>1.1000000000000001</v>
      </c>
      <c r="C11" s="263"/>
      <c r="D11" s="8"/>
      <c r="E11" s="261"/>
    </row>
    <row r="12" spans="1:11" x14ac:dyDescent="0.25">
      <c r="A12" s="320" t="s">
        <v>119</v>
      </c>
      <c r="B12" s="153">
        <f>SUM(B10:B11)</f>
        <v>21.1</v>
      </c>
      <c r="C12" s="153">
        <f>SUM(C10:C11)</f>
        <v>0</v>
      </c>
      <c r="D12" s="8">
        <v>92</v>
      </c>
      <c r="E12" s="264">
        <v>2135.38</v>
      </c>
      <c r="G12" s="366"/>
    </row>
    <row r="13" spans="1:11" x14ac:dyDescent="0.25">
      <c r="B13" s="21"/>
      <c r="C13" s="21"/>
      <c r="E13" s="261"/>
    </row>
    <row r="14" spans="1:11" x14ac:dyDescent="0.25">
      <c r="A14" s="20" t="s">
        <v>97</v>
      </c>
      <c r="B14" s="21">
        <f>B7+B12</f>
        <v>49.1</v>
      </c>
      <c r="C14" s="20" t="s">
        <v>130</v>
      </c>
      <c r="D14" s="264">
        <v>50</v>
      </c>
    </row>
    <row r="15" spans="1:11" x14ac:dyDescent="0.25">
      <c r="A15" s="20"/>
      <c r="B15" s="21"/>
      <c r="C15" s="21"/>
      <c r="E15" s="261"/>
      <c r="G15" s="366"/>
    </row>
    <row r="16" spans="1:11" x14ac:dyDescent="0.25">
      <c r="A16" s="20" t="s">
        <v>83</v>
      </c>
      <c r="B16" s="21"/>
      <c r="C16" s="231" t="s">
        <v>132</v>
      </c>
      <c r="E16" s="321" t="s">
        <v>133</v>
      </c>
      <c r="J16" s="175"/>
      <c r="K16" s="176"/>
    </row>
    <row r="17" spans="1:11" x14ac:dyDescent="0.25">
      <c r="A17" s="238" t="s">
        <v>195</v>
      </c>
      <c r="B17" s="365"/>
      <c r="C17" s="300">
        <v>4550</v>
      </c>
      <c r="E17" s="264">
        <v>4857.38</v>
      </c>
      <c r="F17" s="20"/>
      <c r="G17" s="367"/>
      <c r="J17" s="175"/>
      <c r="K17" s="176"/>
    </row>
    <row r="18" spans="1:11" x14ac:dyDescent="0.25">
      <c r="A18" s="23"/>
      <c r="B18" s="21"/>
      <c r="C18" s="24"/>
      <c r="J18" s="175"/>
      <c r="K18" s="176"/>
    </row>
    <row r="19" spans="1:11" x14ac:dyDescent="0.25">
      <c r="J19" s="175"/>
      <c r="K19" s="176"/>
    </row>
    <row r="20" spans="1:11" x14ac:dyDescent="0.25">
      <c r="J20" s="175"/>
      <c r="K20" s="176"/>
    </row>
    <row r="21" spans="1:11" x14ac:dyDescent="0.25">
      <c r="J21" s="175"/>
      <c r="K21" s="176"/>
    </row>
    <row r="22" spans="1:11" x14ac:dyDescent="0.25">
      <c r="J22" s="175"/>
      <c r="K22" s="176"/>
    </row>
    <row r="23" spans="1:11" x14ac:dyDescent="0.25">
      <c r="J23" s="175"/>
    </row>
  </sheetData>
  <phoneticPr fontId="2" type="noConversion"/>
  <pageMargins left="0.75" right="0.75" top="1" bottom="1" header="0.5" footer="0.5"/>
  <pageSetup orientation="portrait" r:id="rId1"/>
  <headerFooter alignWithMargins="0"/>
  <ignoredErrors>
    <ignoredError sqref="B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zoomScaleNormal="100" workbookViewId="0">
      <selection activeCell="F21" sqref="F21"/>
    </sheetView>
  </sheetViews>
  <sheetFormatPr defaultRowHeight="13.2" x14ac:dyDescent="0.25"/>
  <cols>
    <col min="1" max="1" width="10" bestFit="1" customWidth="1"/>
    <col min="2" max="2" width="50" bestFit="1" customWidth="1"/>
    <col min="3" max="3" width="10.33203125" bestFit="1" customWidth="1"/>
    <col min="4" max="4" width="13" customWidth="1"/>
    <col min="5" max="5" width="2.88671875" customWidth="1"/>
    <col min="6" max="6" width="45.33203125" bestFit="1" customWidth="1"/>
    <col min="7" max="7" width="9.6640625" customWidth="1"/>
    <col min="8" max="8" width="9.109375" style="240"/>
  </cols>
  <sheetData>
    <row r="1" spans="1:10" x14ac:dyDescent="0.25">
      <c r="A1" s="5" t="s">
        <v>148</v>
      </c>
      <c r="B1" s="288" t="s">
        <v>179</v>
      </c>
      <c r="C1" s="302" t="s">
        <v>122</v>
      </c>
      <c r="D1" s="5" t="s">
        <v>121</v>
      </c>
      <c r="F1" s="325"/>
      <c r="H1" s="326"/>
      <c r="I1" s="327"/>
    </row>
    <row r="2" spans="1:10" x14ac:dyDescent="0.25">
      <c r="A2" s="188"/>
      <c r="B2" s="7" t="s">
        <v>187</v>
      </c>
      <c r="C2" s="18">
        <v>26</v>
      </c>
      <c r="D2" s="338">
        <f>100*C2</f>
        <v>2600</v>
      </c>
      <c r="F2" s="165" t="s">
        <v>206</v>
      </c>
      <c r="G2" s="20"/>
      <c r="H2" s="328"/>
      <c r="I2" s="329"/>
      <c r="J2" s="3"/>
    </row>
    <row r="3" spans="1:10" x14ac:dyDescent="0.25">
      <c r="A3" s="188"/>
      <c r="B3" s="7" t="s">
        <v>188</v>
      </c>
      <c r="C3" s="18"/>
      <c r="D3" s="18"/>
      <c r="G3" s="20"/>
      <c r="H3" s="328"/>
      <c r="I3" s="329"/>
      <c r="J3" s="3"/>
    </row>
    <row r="4" spans="1:10" x14ac:dyDescent="0.25">
      <c r="A4" s="188"/>
      <c r="B4" s="26"/>
      <c r="C4" s="6"/>
      <c r="D4" s="18"/>
      <c r="G4" s="20"/>
      <c r="H4" s="328"/>
      <c r="I4" s="329"/>
      <c r="J4" s="3"/>
    </row>
    <row r="5" spans="1:10" x14ac:dyDescent="0.25">
      <c r="A5" s="6"/>
      <c r="B5" s="5" t="s">
        <v>8</v>
      </c>
      <c r="C5" s="18"/>
      <c r="D5" s="6"/>
      <c r="G5" s="20"/>
      <c r="H5" s="328"/>
      <c r="I5" s="329"/>
      <c r="J5" s="3"/>
    </row>
    <row r="6" spans="1:10" x14ac:dyDescent="0.25">
      <c r="A6" s="150"/>
      <c r="B6" s="14" t="s">
        <v>46</v>
      </c>
      <c r="C6" s="6"/>
      <c r="D6" s="6"/>
      <c r="G6" s="330"/>
      <c r="H6" s="328"/>
      <c r="I6" s="329"/>
      <c r="J6" s="3"/>
    </row>
    <row r="7" spans="1:10" x14ac:dyDescent="0.25">
      <c r="A7" s="151"/>
      <c r="B7" s="14" t="s">
        <v>48</v>
      </c>
      <c r="C7" s="6"/>
      <c r="D7" s="6"/>
      <c r="G7" s="20"/>
      <c r="H7" s="328"/>
      <c r="I7" s="329"/>
      <c r="J7" s="3"/>
    </row>
    <row r="8" spans="1:10" x14ac:dyDescent="0.25">
      <c r="A8" s="151"/>
      <c r="B8" s="14" t="s">
        <v>45</v>
      </c>
      <c r="C8" s="6"/>
      <c r="D8" s="6"/>
      <c r="G8" s="20"/>
      <c r="H8" s="328"/>
      <c r="I8" s="329"/>
      <c r="J8" s="3"/>
    </row>
    <row r="9" spans="1:10" x14ac:dyDescent="0.25">
      <c r="A9" s="151"/>
      <c r="B9" s="14" t="s">
        <v>201</v>
      </c>
      <c r="C9" s="6">
        <v>1</v>
      </c>
      <c r="D9" s="210">
        <v>100</v>
      </c>
      <c r="F9" s="20" t="s">
        <v>173</v>
      </c>
      <c r="H9" s="328"/>
      <c r="I9" s="329"/>
      <c r="J9" s="3"/>
    </row>
    <row r="10" spans="1:10" ht="13.8" thickBot="1" x14ac:dyDescent="0.3">
      <c r="A10" s="152"/>
      <c r="B10" s="352" t="s">
        <v>106</v>
      </c>
      <c r="C10" s="359">
        <v>2</v>
      </c>
      <c r="D10" s="362">
        <f>2*100</f>
        <v>200</v>
      </c>
      <c r="F10" s="20" t="s">
        <v>174</v>
      </c>
      <c r="H10" s="328"/>
      <c r="I10" s="329"/>
      <c r="J10" s="3"/>
    </row>
    <row r="11" spans="1:10" x14ac:dyDescent="0.25">
      <c r="A11" s="6"/>
      <c r="B11" s="14" t="s">
        <v>178</v>
      </c>
      <c r="C11" s="358">
        <f>SUM(C2:C10)</f>
        <v>29</v>
      </c>
      <c r="D11" s="361">
        <f>SUM(D2:D10)</f>
        <v>2900</v>
      </c>
      <c r="F11" s="20" t="s">
        <v>205</v>
      </c>
      <c r="G11" s="20"/>
      <c r="H11" s="328"/>
      <c r="I11" s="331"/>
      <c r="J11" s="230"/>
    </row>
    <row r="12" spans="1:10" ht="13.8" thickBot="1" x14ac:dyDescent="0.3">
      <c r="A12" s="6"/>
      <c r="B12" s="310" t="s">
        <v>176</v>
      </c>
      <c r="C12" s="360">
        <f>C11*0.055</f>
        <v>1.595</v>
      </c>
      <c r="D12" s="363">
        <f>D11*5.5%</f>
        <v>159.5</v>
      </c>
      <c r="F12" s="20" t="s">
        <v>202</v>
      </c>
    </row>
    <row r="13" spans="1:10" x14ac:dyDescent="0.25">
      <c r="A13" s="6"/>
      <c r="B13" s="307" t="s">
        <v>123</v>
      </c>
      <c r="C13" s="241">
        <f>SUM(C11:C12)</f>
        <v>30.594999999999999</v>
      </c>
      <c r="D13" s="241">
        <f>SUM(D11:D12)</f>
        <v>3059.5</v>
      </c>
      <c r="F13" s="20" t="s">
        <v>203</v>
      </c>
    </row>
    <row r="14" spans="1:10" x14ac:dyDescent="0.25">
      <c r="A14" s="152"/>
      <c r="B14" s="311" t="s">
        <v>177</v>
      </c>
      <c r="C14" s="6">
        <f>C13*0.21</f>
        <v>6.4249499999999999</v>
      </c>
      <c r="D14" s="322">
        <f>D13*21%</f>
        <v>642.495</v>
      </c>
      <c r="F14" s="20" t="s">
        <v>204</v>
      </c>
    </row>
    <row r="15" spans="1:10" x14ac:dyDescent="0.25">
      <c r="A15" s="6"/>
      <c r="B15" s="312" t="s">
        <v>134</v>
      </c>
      <c r="C15" s="309"/>
      <c r="D15" s="241"/>
      <c r="F15" s="165"/>
    </row>
    <row r="16" spans="1:10" ht="13.8" thickBot="1" x14ac:dyDescent="0.3">
      <c r="A16" s="6"/>
      <c r="B16" s="14" t="s">
        <v>85</v>
      </c>
      <c r="C16" s="242">
        <v>1</v>
      </c>
      <c r="D16" s="323">
        <v>100</v>
      </c>
      <c r="F16" s="165"/>
      <c r="I16" s="261"/>
      <c r="J16" s="261"/>
    </row>
    <row r="17" spans="1:10" ht="13.8" thickTop="1" x14ac:dyDescent="0.25">
      <c r="A17" s="6"/>
      <c r="B17" s="5" t="s">
        <v>1</v>
      </c>
      <c r="C17" s="241">
        <f>SUM(C13:C16)</f>
        <v>38.019950000000001</v>
      </c>
      <c r="D17" s="303">
        <f>SUM(D13:D16)</f>
        <v>3801.9949999999999</v>
      </c>
      <c r="F17" s="165"/>
      <c r="J17" s="230"/>
    </row>
    <row r="18" spans="1:10" x14ac:dyDescent="0.25">
      <c r="A18" s="6"/>
      <c r="B18" s="5" t="s">
        <v>80</v>
      </c>
      <c r="C18" s="324">
        <v>38</v>
      </c>
      <c r="D18" s="6"/>
      <c r="E18" s="3"/>
      <c r="J18" s="230"/>
    </row>
    <row r="19" spans="1:10" x14ac:dyDescent="0.25">
      <c r="A19" s="3"/>
      <c r="B19" s="20"/>
      <c r="C19" s="3"/>
      <c r="D19" s="243"/>
      <c r="J19" s="230"/>
    </row>
    <row r="20" spans="1:10" x14ac:dyDescent="0.25">
      <c r="A20" s="332"/>
      <c r="B20" s="304"/>
      <c r="C20" s="3"/>
      <c r="D20" s="3"/>
      <c r="J20" s="230"/>
    </row>
    <row r="21" spans="1:10" x14ac:dyDescent="0.25">
      <c r="A21" s="12"/>
      <c r="G21" s="20"/>
      <c r="H21" s="305"/>
    </row>
    <row r="22" spans="1:10" x14ac:dyDescent="0.25">
      <c r="B22" s="1" t="s">
        <v>175</v>
      </c>
      <c r="H22" s="305"/>
      <c r="J22" s="306"/>
    </row>
    <row r="23" spans="1:10" x14ac:dyDescent="0.25">
      <c r="B23" s="1" t="s">
        <v>115</v>
      </c>
      <c r="E23" s="3"/>
      <c r="H23" s="305"/>
      <c r="J23" s="306"/>
    </row>
    <row r="24" spans="1:10" x14ac:dyDescent="0.25">
      <c r="H24" s="305"/>
      <c r="J24" s="306"/>
    </row>
    <row r="25" spans="1:10" x14ac:dyDescent="0.25">
      <c r="B25" s="20"/>
      <c r="H25" s="305"/>
      <c r="J25" s="230"/>
    </row>
    <row r="26" spans="1:10" x14ac:dyDescent="0.25">
      <c r="B26" s="20"/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A614D-D934-48A0-AC07-F779C89838C5}">
  <dimension ref="A1:J27"/>
  <sheetViews>
    <sheetView workbookViewId="0">
      <selection activeCell="B12" sqref="B12"/>
    </sheetView>
  </sheetViews>
  <sheetFormatPr defaultRowHeight="13.2" x14ac:dyDescent="0.25"/>
  <cols>
    <col min="1" max="1" width="12.5546875" bestFit="1" customWidth="1"/>
    <col min="2" max="2" width="26.88671875" customWidth="1"/>
    <col min="3" max="3" width="9.33203125" customWidth="1"/>
    <col min="5" max="5" width="10.33203125" bestFit="1" customWidth="1"/>
    <col min="8" max="8" width="27" bestFit="1" customWidth="1"/>
  </cols>
  <sheetData>
    <row r="1" spans="1:10" x14ac:dyDescent="0.25">
      <c r="A1" s="291" t="s">
        <v>42</v>
      </c>
      <c r="B1" s="291"/>
      <c r="H1" s="165"/>
    </row>
    <row r="2" spans="1:10" x14ac:dyDescent="0.25">
      <c r="B2" s="293" t="s">
        <v>116</v>
      </c>
      <c r="C2" s="177" t="s">
        <v>21</v>
      </c>
      <c r="D2" s="8"/>
      <c r="H2" s="291" t="s">
        <v>59</v>
      </c>
    </row>
    <row r="3" spans="1:10" ht="13.8" thickBot="1" x14ac:dyDescent="0.3">
      <c r="A3" s="4" t="s">
        <v>16</v>
      </c>
      <c r="B3" s="194" t="s">
        <v>110</v>
      </c>
      <c r="C3" s="289">
        <v>16.66</v>
      </c>
      <c r="D3" s="290" t="s">
        <v>37</v>
      </c>
      <c r="E3" s="20"/>
      <c r="G3" s="4" t="s">
        <v>16</v>
      </c>
      <c r="H3" s="194" t="s">
        <v>56</v>
      </c>
      <c r="I3" s="313">
        <v>24</v>
      </c>
      <c r="J3" s="165"/>
    </row>
    <row r="4" spans="1:10" x14ac:dyDescent="0.25">
      <c r="A4" s="178">
        <v>16</v>
      </c>
      <c r="B4" s="7" t="s">
        <v>40</v>
      </c>
      <c r="C4" s="3">
        <f>C3</f>
        <v>16.66</v>
      </c>
      <c r="G4" s="178">
        <f>128/10</f>
        <v>12.8</v>
      </c>
      <c r="H4" s="7" t="s">
        <v>54</v>
      </c>
      <c r="I4" s="6">
        <f>I3</f>
        <v>24</v>
      </c>
    </row>
    <row r="5" spans="1:10" x14ac:dyDescent="0.25">
      <c r="A5" s="13">
        <v>32</v>
      </c>
      <c r="B5" s="7" t="s">
        <v>41</v>
      </c>
      <c r="C5" s="3"/>
      <c r="G5" s="13">
        <f>2*G4</f>
        <v>25.6</v>
      </c>
      <c r="H5" s="7" t="s">
        <v>41</v>
      </c>
      <c r="I5" s="6">
        <f>I4*2</f>
        <v>48</v>
      </c>
    </row>
    <row r="6" spans="1:10" x14ac:dyDescent="0.25">
      <c r="A6" s="191">
        <f>16*3</f>
        <v>48</v>
      </c>
      <c r="B6" s="351" t="s">
        <v>18</v>
      </c>
      <c r="C6" s="192">
        <f>C4*3</f>
        <v>49.980000000000004</v>
      </c>
      <c r="G6" s="191">
        <f>3*12.8</f>
        <v>38.400000000000006</v>
      </c>
      <c r="H6" s="190" t="s">
        <v>18</v>
      </c>
      <c r="I6" s="164">
        <f>I4*3</f>
        <v>72</v>
      </c>
    </row>
    <row r="7" spans="1:10" x14ac:dyDescent="0.25">
      <c r="A7" s="13">
        <f>16*4</f>
        <v>64</v>
      </c>
      <c r="B7" s="7" t="s">
        <v>23</v>
      </c>
      <c r="C7" s="3"/>
      <c r="G7" s="13">
        <f>4*12.8</f>
        <v>51.2</v>
      </c>
      <c r="H7" s="7" t="s">
        <v>23</v>
      </c>
      <c r="I7" s="6">
        <f>I4*4</f>
        <v>96</v>
      </c>
    </row>
    <row r="8" spans="1:10" x14ac:dyDescent="0.25">
      <c r="A8" s="13">
        <v>80</v>
      </c>
      <c r="B8" s="4" t="s">
        <v>17</v>
      </c>
      <c r="C8" s="3"/>
      <c r="G8" s="13">
        <f>5*12.8</f>
        <v>64</v>
      </c>
      <c r="H8" s="4" t="s">
        <v>17</v>
      </c>
      <c r="I8" s="6">
        <f>I4*5</f>
        <v>120</v>
      </c>
    </row>
    <row r="9" spans="1:10" x14ac:dyDescent="0.25">
      <c r="A9" s="13"/>
      <c r="B9" s="194" t="s">
        <v>58</v>
      </c>
    </row>
    <row r="10" spans="1:10" x14ac:dyDescent="0.25">
      <c r="A10" s="152">
        <f>128/7</f>
        <v>18.285714285714285</v>
      </c>
      <c r="B10" s="7" t="s">
        <v>39</v>
      </c>
      <c r="C10" s="3">
        <v>16.66</v>
      </c>
    </row>
    <row r="11" spans="1:10" x14ac:dyDescent="0.25">
      <c r="A11" s="188">
        <f>A10*2</f>
        <v>36.571428571428569</v>
      </c>
      <c r="B11" s="7" t="s">
        <v>41</v>
      </c>
      <c r="C11" s="3"/>
    </row>
    <row r="12" spans="1:10" x14ac:dyDescent="0.25">
      <c r="A12" s="314">
        <f>18.29*3</f>
        <v>54.87</v>
      </c>
      <c r="B12" s="351" t="s">
        <v>18</v>
      </c>
      <c r="C12" s="192">
        <v>50</v>
      </c>
    </row>
    <row r="13" spans="1:10" ht="13.8" thickBot="1" x14ac:dyDescent="0.3">
      <c r="A13" s="188">
        <f>18.29*4</f>
        <v>73.16</v>
      </c>
      <c r="B13" s="4" t="s">
        <v>23</v>
      </c>
      <c r="C13" s="3"/>
    </row>
    <row r="14" spans="1:10" x14ac:dyDescent="0.25">
      <c r="A14" s="188">
        <f>18.29*5</f>
        <v>91.449999999999989</v>
      </c>
      <c r="B14" s="4" t="s">
        <v>17</v>
      </c>
      <c r="C14" s="3"/>
      <c r="D14" s="353" t="s">
        <v>35</v>
      </c>
      <c r="E14" s="354">
        <f>100*0.055</f>
        <v>5.5</v>
      </c>
      <c r="F14" s="355">
        <f>100+E14</f>
        <v>105.5</v>
      </c>
    </row>
    <row r="15" spans="1:10" ht="13.8" thickBot="1" x14ac:dyDescent="0.3">
      <c r="A15" s="4"/>
      <c r="B15" s="194" t="s">
        <v>57</v>
      </c>
      <c r="D15" s="356" t="s">
        <v>124</v>
      </c>
      <c r="E15" s="357">
        <f>105.5*0.21</f>
        <v>22.154999999999998</v>
      </c>
      <c r="F15" s="364">
        <f>F14+E15</f>
        <v>127.655</v>
      </c>
    </row>
    <row r="16" spans="1:10" x14ac:dyDescent="0.25">
      <c r="A16" s="193">
        <f>128/6</f>
        <v>21.333333333333332</v>
      </c>
      <c r="B16" s="7" t="s">
        <v>38</v>
      </c>
      <c r="C16" s="3">
        <v>16.66</v>
      </c>
      <c r="D16" s="165"/>
    </row>
    <row r="17" spans="1:6" x14ac:dyDescent="0.25">
      <c r="A17" s="13">
        <v>42</v>
      </c>
      <c r="B17" s="4" t="s">
        <v>41</v>
      </c>
      <c r="C17" s="3"/>
    </row>
    <row r="18" spans="1:6" x14ac:dyDescent="0.25">
      <c r="A18" s="13">
        <v>64</v>
      </c>
      <c r="B18" s="4" t="s">
        <v>18</v>
      </c>
      <c r="C18" s="3">
        <v>50</v>
      </c>
    </row>
    <row r="19" spans="1:6" x14ac:dyDescent="0.25">
      <c r="A19" s="13">
        <f>21*4</f>
        <v>84</v>
      </c>
      <c r="B19" s="4" t="s">
        <v>23</v>
      </c>
      <c r="C19" s="3"/>
    </row>
    <row r="20" spans="1:6" x14ac:dyDescent="0.25">
      <c r="A20" s="13">
        <f>21*5</f>
        <v>105</v>
      </c>
      <c r="B20" s="4" t="s">
        <v>17</v>
      </c>
      <c r="C20" s="3"/>
    </row>
    <row r="23" spans="1:6" x14ac:dyDescent="0.25">
      <c r="A23" s="5" t="s">
        <v>9</v>
      </c>
      <c r="B23" s="287" t="s">
        <v>24</v>
      </c>
      <c r="C23" s="4"/>
      <c r="E23" s="292" t="s">
        <v>22</v>
      </c>
      <c r="F23" s="4"/>
    </row>
    <row r="24" spans="1:6" x14ac:dyDescent="0.25">
      <c r="A24" s="13">
        <v>72</v>
      </c>
      <c r="B24" s="7" t="s">
        <v>49</v>
      </c>
      <c r="C24" s="4"/>
      <c r="E24" s="14" t="s">
        <v>29</v>
      </c>
      <c r="F24" s="278">
        <v>21.1</v>
      </c>
    </row>
    <row r="25" spans="1:6" x14ac:dyDescent="0.25">
      <c r="A25" s="13">
        <v>108</v>
      </c>
      <c r="B25" s="7" t="s">
        <v>52</v>
      </c>
      <c r="C25" s="6">
        <v>99</v>
      </c>
      <c r="E25" s="14" t="s">
        <v>53</v>
      </c>
      <c r="F25" s="278">
        <v>0</v>
      </c>
    </row>
    <row r="26" spans="1:6" x14ac:dyDescent="0.25">
      <c r="A26" s="13">
        <v>144</v>
      </c>
      <c r="B26" s="7" t="s">
        <v>50</v>
      </c>
      <c r="C26" s="4"/>
      <c r="E26" s="4"/>
      <c r="F26" s="4"/>
    </row>
    <row r="27" spans="1:6" x14ac:dyDescent="0.25">
      <c r="A27" s="13">
        <v>216</v>
      </c>
      <c r="B27" s="7" t="s">
        <v>51</v>
      </c>
      <c r="C27" s="25"/>
      <c r="E27" s="4"/>
      <c r="F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Event Fees</vt:lpstr>
      <vt:lpstr>Participant Cost</vt:lpstr>
      <vt:lpstr>Tour</vt:lpstr>
      <vt:lpstr>FOOD CHOICES</vt:lpstr>
      <vt:lpstr>Food Calculators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Shong</dc:creator>
  <cp:lastModifiedBy>Joy Shong</cp:lastModifiedBy>
  <cp:lastPrinted>2014-04-26T03:35:39Z</cp:lastPrinted>
  <dcterms:created xsi:type="dcterms:W3CDTF">2009-05-02T04:34:07Z</dcterms:created>
  <dcterms:modified xsi:type="dcterms:W3CDTF">2025-09-25T00:23:01Z</dcterms:modified>
</cp:coreProperties>
</file>